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-45" windowWidth="12435" windowHeight="12135" tabRatio="748"/>
  </bookViews>
  <sheets>
    <sheet name="Summary" sheetId="9" r:id="rId1"/>
    <sheet name="Crime Activity" sheetId="1" r:id="rId2"/>
    <sheet name="Arrest Demographics" sheetId="7" r:id="rId3"/>
    <sheet name="E-911" sheetId="13" r:id="rId4"/>
    <sheet name="UPD" sheetId="2" r:id="rId5"/>
    <sheet name="Prowl" sheetId="14" r:id="rId6"/>
    <sheet name="CID" sheetId="3" r:id="rId7"/>
    <sheet name="Warrants" sheetId="5" r:id="rId8"/>
    <sheet name="DTF" sheetId="6" r:id="rId9"/>
    <sheet name="Traffic" sheetId="10" r:id="rId10"/>
    <sheet name="Parking" sheetId="12" r:id="rId11"/>
    <sheet name="Animal Control" sheetId="11" r:id="rId12"/>
    <sheet name="FLEET MAINTENANCE" sheetId="8" r:id="rId13"/>
    <sheet name="RECORDS" sheetId="4" r:id="rId14"/>
    <sheet name="Professional Standards" sheetId="15" r:id="rId15"/>
  </sheets>
  <externalReferences>
    <externalReference r:id="rId16"/>
    <externalReference r:id="rId17"/>
    <externalReference r:id="rId18"/>
    <externalReference r:id="rId19"/>
  </externalReferences>
  <calcPr calcId="125725"/>
</workbook>
</file>

<file path=xl/calcChain.xml><?xml version="1.0" encoding="utf-8"?>
<calcChain xmlns="http://schemas.openxmlformats.org/spreadsheetml/2006/main">
  <c r="F3" i="15"/>
  <c r="F4"/>
  <c r="F5"/>
  <c r="F6"/>
  <c r="F7"/>
  <c r="F8"/>
  <c r="F9"/>
  <c r="G27" i="8" l="1"/>
  <c r="G18"/>
  <c r="G19"/>
  <c r="G20"/>
  <c r="G21"/>
  <c r="G22"/>
  <c r="G23"/>
  <c r="G24"/>
  <c r="G25"/>
  <c r="G26"/>
  <c r="F27"/>
  <c r="F18"/>
  <c r="F19"/>
  <c r="F20"/>
  <c r="F21"/>
  <c r="F22"/>
  <c r="F23"/>
  <c r="F24"/>
  <c r="F25"/>
  <c r="F26"/>
  <c r="G12"/>
  <c r="G3"/>
  <c r="G4"/>
  <c r="G5"/>
  <c r="G6"/>
  <c r="G7"/>
  <c r="G8"/>
  <c r="G9"/>
  <c r="G10"/>
  <c r="G11"/>
  <c r="F3"/>
  <c r="F4"/>
  <c r="F5"/>
  <c r="F6"/>
  <c r="F7"/>
  <c r="F8"/>
  <c r="F9"/>
  <c r="F10"/>
  <c r="F11"/>
  <c r="F12"/>
  <c r="C6" i="12"/>
  <c r="D6"/>
  <c r="E6"/>
  <c r="B6"/>
  <c r="G17"/>
  <c r="G18"/>
  <c r="F17"/>
  <c r="F18"/>
  <c r="F20"/>
  <c r="G3" i="10"/>
  <c r="G4"/>
  <c r="G5"/>
  <c r="G6"/>
  <c r="G7"/>
  <c r="G8"/>
  <c r="G9"/>
  <c r="G10"/>
  <c r="G11"/>
  <c r="G12"/>
  <c r="G13"/>
  <c r="G14"/>
  <c r="F3"/>
  <c r="F4"/>
  <c r="F5"/>
  <c r="F6"/>
  <c r="F7"/>
  <c r="F8"/>
  <c r="F9"/>
  <c r="F10"/>
  <c r="F11"/>
  <c r="F12"/>
  <c r="F13"/>
  <c r="F14"/>
  <c r="G46" i="6"/>
  <c r="G47"/>
  <c r="G48"/>
  <c r="G49"/>
  <c r="G50"/>
  <c r="G51"/>
  <c r="G52"/>
  <c r="G53"/>
  <c r="G54"/>
  <c r="G55"/>
  <c r="G56"/>
  <c r="G57"/>
  <c r="G58"/>
  <c r="G59"/>
  <c r="G60"/>
  <c r="G61"/>
  <c r="F46"/>
  <c r="F47"/>
  <c r="F48"/>
  <c r="F49"/>
  <c r="F50"/>
  <c r="F51"/>
  <c r="F52"/>
  <c r="F53"/>
  <c r="F54"/>
  <c r="F55"/>
  <c r="F56"/>
  <c r="F57"/>
  <c r="F58"/>
  <c r="F59"/>
  <c r="F60"/>
  <c r="F61"/>
  <c r="G25"/>
  <c r="G26"/>
  <c r="G27"/>
  <c r="G28"/>
  <c r="G29"/>
  <c r="G30"/>
  <c r="G31"/>
  <c r="G32"/>
  <c r="G33"/>
  <c r="G34"/>
  <c r="F25"/>
  <c r="F26"/>
  <c r="F27"/>
  <c r="F28"/>
  <c r="F29"/>
  <c r="F30"/>
  <c r="F31"/>
  <c r="F32"/>
  <c r="F33"/>
  <c r="F34"/>
  <c r="F35"/>
  <c r="C17"/>
  <c r="D17"/>
  <c r="E17"/>
  <c r="B17"/>
  <c r="C11"/>
  <c r="D11"/>
  <c r="E11"/>
  <c r="B11"/>
  <c r="C5"/>
  <c r="D5"/>
  <c r="E5"/>
  <c r="B5"/>
  <c r="F31" i="5"/>
  <c r="F32"/>
  <c r="F33"/>
  <c r="F34"/>
  <c r="G9"/>
  <c r="G10"/>
  <c r="G11"/>
  <c r="G12"/>
  <c r="G13"/>
  <c r="F9"/>
  <c r="F10"/>
  <c r="F11"/>
  <c r="F12"/>
  <c r="F13"/>
  <c r="F3"/>
  <c r="F5"/>
  <c r="B16" i="2" l="1"/>
  <c r="C16"/>
  <c r="D16"/>
  <c r="E16"/>
  <c r="E10" i="7"/>
  <c r="E9"/>
  <c r="E6"/>
  <c r="E5"/>
  <c r="E4"/>
  <c r="E3"/>
  <c r="E2"/>
  <c r="E22"/>
  <c r="E21"/>
  <c r="E20"/>
  <c r="E19"/>
  <c r="E18"/>
  <c r="E17"/>
  <c r="E16"/>
  <c r="E15"/>
  <c r="E14"/>
  <c r="E13"/>
  <c r="D10"/>
  <c r="D9"/>
  <c r="D6"/>
  <c r="D5"/>
  <c r="D4"/>
  <c r="D3"/>
  <c r="D2"/>
  <c r="D21"/>
  <c r="D22"/>
  <c r="D19"/>
  <c r="D18"/>
  <c r="D17"/>
  <c r="D16"/>
  <c r="D15"/>
  <c r="D14"/>
  <c r="D13"/>
  <c r="C10"/>
  <c r="C9"/>
  <c r="C6"/>
  <c r="C5"/>
  <c r="C4"/>
  <c r="C3"/>
  <c r="F3" s="1"/>
  <c r="C2"/>
  <c r="C17"/>
  <c r="C22"/>
  <c r="C21"/>
  <c r="C14"/>
  <c r="C15"/>
  <c r="C20"/>
  <c r="C19"/>
  <c r="C18"/>
  <c r="C16"/>
  <c r="C13"/>
  <c r="B10"/>
  <c r="B9"/>
  <c r="B6"/>
  <c r="B5"/>
  <c r="B4"/>
  <c r="B3"/>
  <c r="B2"/>
  <c r="B22"/>
  <c r="B21"/>
  <c r="B18"/>
  <c r="B17"/>
  <c r="B16"/>
  <c r="B15"/>
  <c r="B14"/>
  <c r="B13"/>
  <c r="F14"/>
  <c r="F16"/>
  <c r="F17"/>
  <c r="F18"/>
  <c r="F19"/>
  <c r="F20"/>
  <c r="F21"/>
  <c r="F22"/>
  <c r="G3"/>
  <c r="G4"/>
  <c r="G5"/>
  <c r="G6"/>
  <c r="F4"/>
  <c r="F5"/>
  <c r="F6"/>
  <c r="G53" i="9"/>
  <c r="G54"/>
  <c r="G55"/>
  <c r="G56"/>
  <c r="G57"/>
  <c r="G58"/>
  <c r="G59"/>
  <c r="G60"/>
  <c r="F53"/>
  <c r="F54"/>
  <c r="F55"/>
  <c r="F56"/>
  <c r="F57"/>
  <c r="F58"/>
  <c r="F59"/>
  <c r="F60"/>
  <c r="F61"/>
  <c r="F52"/>
  <c r="G37"/>
  <c r="G38"/>
  <c r="G39"/>
  <c r="G40"/>
  <c r="G41"/>
  <c r="G42"/>
  <c r="G43"/>
  <c r="G44"/>
  <c r="G45"/>
  <c r="G46"/>
  <c r="G47"/>
  <c r="F37"/>
  <c r="F38"/>
  <c r="F39"/>
  <c r="F40"/>
  <c r="F41"/>
  <c r="F42"/>
  <c r="F43"/>
  <c r="F44"/>
  <c r="F45"/>
  <c r="F46"/>
  <c r="F47"/>
  <c r="E41"/>
  <c r="D41"/>
  <c r="E40"/>
  <c r="D40"/>
  <c r="E39"/>
  <c r="D39"/>
  <c r="E38"/>
  <c r="D38"/>
  <c r="E37"/>
  <c r="D37"/>
  <c r="F36"/>
  <c r="G15"/>
  <c r="G16"/>
  <c r="G17"/>
  <c r="G18"/>
  <c r="G19"/>
  <c r="G20"/>
  <c r="G21"/>
  <c r="G22"/>
  <c r="G23"/>
  <c r="G24"/>
  <c r="G25"/>
  <c r="G26"/>
  <c r="G27"/>
  <c r="G28"/>
  <c r="G29"/>
  <c r="G30"/>
  <c r="F15"/>
  <c r="F16"/>
  <c r="F17"/>
  <c r="F18"/>
  <c r="F19"/>
  <c r="F20"/>
  <c r="F21"/>
  <c r="F22"/>
  <c r="F23"/>
  <c r="F24"/>
  <c r="F25"/>
  <c r="F26"/>
  <c r="F27"/>
  <c r="F28"/>
  <c r="F29"/>
  <c r="F30"/>
  <c r="F31"/>
  <c r="G3"/>
  <c r="G4"/>
  <c r="G5"/>
  <c r="G6"/>
  <c r="G7"/>
  <c r="G8"/>
  <c r="G9"/>
  <c r="F3"/>
  <c r="F4"/>
  <c r="F5"/>
  <c r="F6"/>
  <c r="F7"/>
  <c r="F8"/>
  <c r="F9"/>
  <c r="E61"/>
  <c r="D61"/>
  <c r="E60"/>
  <c r="D60"/>
  <c r="E59"/>
  <c r="D59"/>
  <c r="E58"/>
  <c r="D58"/>
  <c r="E57"/>
  <c r="E56"/>
  <c r="D56"/>
  <c r="E55"/>
  <c r="D55"/>
  <c r="E54"/>
  <c r="D54"/>
  <c r="E53"/>
  <c r="D53"/>
  <c r="E52"/>
  <c r="D52"/>
  <c r="E47"/>
  <c r="D47"/>
  <c r="E46"/>
  <c r="D46"/>
  <c r="E45"/>
  <c r="D45"/>
  <c r="E44"/>
  <c r="D44"/>
  <c r="E43"/>
  <c r="D43"/>
  <c r="E42"/>
  <c r="D42"/>
  <c r="E36"/>
  <c r="D36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F2"/>
  <c r="E9"/>
  <c r="D9"/>
  <c r="E8"/>
  <c r="D8"/>
  <c r="E7"/>
  <c r="D7"/>
  <c r="E6"/>
  <c r="D6"/>
  <c r="E5"/>
  <c r="D5"/>
  <c r="E4"/>
  <c r="D4"/>
  <c r="E3"/>
  <c r="D3"/>
  <c r="E2"/>
  <c r="D2"/>
  <c r="G49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G31" i="9"/>
  <c r="G27" i="5"/>
  <c r="F27"/>
  <c r="F15" i="7" l="1"/>
  <c r="C24" i="5"/>
  <c r="D24"/>
  <c r="E24"/>
  <c r="B24"/>
  <c r="C5"/>
  <c r="D5"/>
  <c r="E5"/>
  <c r="B5"/>
  <c r="B35" i="13"/>
  <c r="B23"/>
  <c r="G3" i="15" l="1"/>
  <c r="G4"/>
  <c r="G5"/>
  <c r="G6"/>
  <c r="G7"/>
  <c r="G8"/>
  <c r="G9"/>
  <c r="G2"/>
  <c r="F2"/>
  <c r="C39" i="3"/>
  <c r="B39"/>
  <c r="F39" s="1"/>
  <c r="C29"/>
  <c r="B29"/>
  <c r="F29" s="1"/>
  <c r="C19"/>
  <c r="B19"/>
  <c r="C9"/>
  <c r="B9"/>
  <c r="G18" i="2"/>
  <c r="F18"/>
  <c r="G37" i="5"/>
  <c r="F37"/>
  <c r="G36"/>
  <c r="F36"/>
  <c r="G31"/>
  <c r="G32"/>
  <c r="G33"/>
  <c r="G34"/>
  <c r="G30"/>
  <c r="F30"/>
  <c r="G17"/>
  <c r="G18"/>
  <c r="G21"/>
  <c r="G22"/>
  <c r="F17"/>
  <c r="F18"/>
  <c r="F21"/>
  <c r="F22"/>
  <c r="G16"/>
  <c r="F16"/>
  <c r="G3"/>
  <c r="G5"/>
  <c r="G8"/>
  <c r="F8"/>
  <c r="G2"/>
  <c r="F2"/>
  <c r="G14" i="8"/>
  <c r="C12" i="4"/>
  <c r="B12"/>
  <c r="F12" s="1"/>
  <c r="C17" i="14"/>
  <c r="D17"/>
  <c r="G17" s="1"/>
  <c r="E17"/>
  <c r="B17"/>
  <c r="F17" s="1"/>
  <c r="G21"/>
  <c r="F21"/>
  <c r="G19"/>
  <c r="F19"/>
  <c r="G14"/>
  <c r="F14"/>
  <c r="G11"/>
  <c r="F11"/>
  <c r="G9"/>
  <c r="G8"/>
  <c r="F8"/>
  <c r="G7"/>
  <c r="F7"/>
  <c r="G6"/>
  <c r="F6"/>
  <c r="G4"/>
  <c r="F4"/>
  <c r="C16" i="10"/>
  <c r="D16"/>
  <c r="E16"/>
  <c r="B16"/>
  <c r="F16" s="1"/>
  <c r="F9" i="3" l="1"/>
  <c r="F24" i="5"/>
  <c r="G16" i="10"/>
  <c r="G16" i="2"/>
  <c r="F16"/>
  <c r="G24" i="5"/>
  <c r="G2" i="9"/>
  <c r="B6" i="13" l="1"/>
  <c r="G37" i="3"/>
  <c r="E39"/>
  <c r="D39"/>
  <c r="G39" s="1"/>
  <c r="E29"/>
  <c r="D29"/>
  <c r="E19"/>
  <c r="E9"/>
  <c r="D9"/>
  <c r="F2" i="8"/>
  <c r="C29"/>
  <c r="D29"/>
  <c r="E29"/>
  <c r="B29"/>
  <c r="G20" i="12"/>
  <c r="G16"/>
  <c r="F16"/>
  <c r="G9"/>
  <c r="F9"/>
  <c r="E12" i="4"/>
  <c r="D12"/>
  <c r="G9" i="3" l="1"/>
  <c r="G29"/>
  <c r="G12" i="4"/>
  <c r="G10"/>
  <c r="D19" i="3"/>
  <c r="G19" s="1"/>
  <c r="F29" i="8"/>
  <c r="G29"/>
  <c r="G20" i="2"/>
  <c r="F20"/>
  <c r="G17" i="8"/>
  <c r="F17"/>
  <c r="G2"/>
  <c r="G17" i="3"/>
  <c r="F33"/>
  <c r="F34"/>
  <c r="F35"/>
  <c r="F36"/>
  <c r="F32"/>
  <c r="F23"/>
  <c r="F24"/>
  <c r="F25"/>
  <c r="F26"/>
  <c r="F27"/>
  <c r="F22"/>
  <c r="F13"/>
  <c r="F14"/>
  <c r="F16"/>
  <c r="F12"/>
  <c r="F3"/>
  <c r="F4"/>
  <c r="F5"/>
  <c r="F6"/>
  <c r="F7"/>
  <c r="F2"/>
  <c r="G52" i="9"/>
  <c r="G36"/>
  <c r="F14"/>
  <c r="C33"/>
  <c r="D33"/>
  <c r="E33"/>
  <c r="B33"/>
  <c r="G14"/>
  <c r="C11"/>
  <c r="D11"/>
  <c r="E11"/>
  <c r="B11"/>
  <c r="G36" i="3"/>
  <c r="G35"/>
  <c r="G34"/>
  <c r="G33"/>
  <c r="G32"/>
  <c r="G27"/>
  <c r="G26"/>
  <c r="G25"/>
  <c r="G24"/>
  <c r="G23"/>
  <c r="G22"/>
  <c r="G16"/>
  <c r="G15"/>
  <c r="G14"/>
  <c r="G13"/>
  <c r="G12"/>
  <c r="G7"/>
  <c r="G6"/>
  <c r="G5"/>
  <c r="G4"/>
  <c r="G3"/>
  <c r="G2"/>
  <c r="C14" i="8"/>
  <c r="B14"/>
  <c r="G45" i="6"/>
  <c r="F45"/>
  <c r="G39"/>
  <c r="G38"/>
  <c r="G24"/>
  <c r="F24"/>
  <c r="G21"/>
  <c r="G20"/>
  <c r="F21"/>
  <c r="F20"/>
  <c r="G17"/>
  <c r="G14"/>
  <c r="G11"/>
  <c r="F11"/>
  <c r="G8"/>
  <c r="F8"/>
  <c r="G5"/>
  <c r="G3"/>
  <c r="F3"/>
  <c r="F5"/>
  <c r="G2"/>
  <c r="F2"/>
  <c r="F14" i="8" l="1"/>
  <c r="G11" i="9"/>
  <c r="F11"/>
  <c r="G18" i="10"/>
  <c r="G20"/>
  <c r="G2"/>
  <c r="F18"/>
  <c r="F20"/>
  <c r="F2"/>
  <c r="D52" i="1"/>
  <c r="B52"/>
  <c r="G22" i="7" l="1"/>
  <c r="G20"/>
  <c r="G18"/>
  <c r="G16"/>
  <c r="G14"/>
  <c r="G10"/>
  <c r="G2"/>
  <c r="F13"/>
  <c r="F9"/>
  <c r="F2"/>
  <c r="G21"/>
  <c r="G9"/>
  <c r="G13"/>
  <c r="G15"/>
  <c r="G17"/>
  <c r="G19"/>
  <c r="F10"/>
  <c r="E63" i="9"/>
  <c r="D63"/>
  <c r="C63"/>
  <c r="B63"/>
  <c r="G9" i="4"/>
  <c r="G7"/>
  <c r="G5"/>
  <c r="G3"/>
  <c r="E52" i="1"/>
  <c r="G52" s="1"/>
  <c r="C52"/>
  <c r="F2"/>
  <c r="G3" i="2"/>
  <c r="G4"/>
  <c r="G5"/>
  <c r="G6"/>
  <c r="G7"/>
  <c r="G10"/>
  <c r="G11"/>
  <c r="G12"/>
  <c r="G13"/>
  <c r="G14"/>
  <c r="F3"/>
  <c r="F4"/>
  <c r="F5"/>
  <c r="F6"/>
  <c r="F7"/>
  <c r="F10"/>
  <c r="F12"/>
  <c r="F14"/>
  <c r="G2"/>
  <c r="F2"/>
  <c r="G4" i="4"/>
  <c r="G6"/>
  <c r="G8"/>
  <c r="F3"/>
  <c r="F4"/>
  <c r="F5"/>
  <c r="F6"/>
  <c r="F7"/>
  <c r="F9"/>
  <c r="F10"/>
  <c r="G2"/>
  <c r="F2"/>
  <c r="D49" i="9"/>
  <c r="E49"/>
  <c r="B49"/>
  <c r="C49"/>
  <c r="G33"/>
  <c r="G2" i="1"/>
  <c r="F33" i="9"/>
  <c r="F63" l="1"/>
  <c r="G63"/>
  <c r="F49"/>
  <c r="G49"/>
  <c r="F52" i="1"/>
</calcChain>
</file>

<file path=xl/sharedStrings.xml><?xml version="1.0" encoding="utf-8"?>
<sst xmlns="http://schemas.openxmlformats.org/spreadsheetml/2006/main" count="700" uniqueCount="251">
  <si>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</si>
  <si>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</si>
  <si>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</si>
  <si>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</si>
  <si>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</si>
  <si>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</si>
  <si>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</si>
  <si>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</si>
  <si>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</si>
  <si>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</si>
  <si>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</si>
  <si>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</si>
  <si>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</si>
  <si>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</si>
  <si>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</si>
  <si>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</si>
  <si>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</si>
  <si>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</si>
  <si>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</si>
  <si>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</si>
  <si>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</si>
  <si>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</si>
  <si>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</si>
  <si>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</si>
  <si>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</si>
  <si>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</si>
  <si>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</si>
  <si>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</si>
  <si>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</si>
  <si>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</si>
  <si>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</si>
  <si>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</si>
  <si>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</si>
  <si>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</si>
  <si>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</si>
  <si>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</si>
  <si>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</si>
  <si>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</si>
  <si>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</si>
  <si>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</si>
  <si>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</si>
  <si>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Misdemeanor</t>
  </si>
  <si>
    <t>Felony</t>
  </si>
  <si>
    <t>SI Criminal</t>
  </si>
  <si>
    <t>Court</t>
  </si>
  <si>
    <t>Prisoner Transport</t>
  </si>
  <si>
    <t>Total Mileage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</si>
  <si>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</si>
  <si>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</si>
  <si>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</si>
  <si>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</si>
  <si>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</si>
  <si>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</si>
  <si>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</si>
  <si>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</si>
  <si>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</si>
  <si>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</si>
  <si>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</si>
  <si>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</si>
  <si>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</si>
  <si>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</si>
  <si>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</si>
  <si>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</si>
  <si>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</si>
  <si>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</si>
  <si>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</si>
  <si>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</si>
  <si>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</si>
  <si>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</si>
  <si>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</si>
  <si>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</si>
  <si>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</si>
  <si>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</si>
  <si>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</si>
  <si>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</si>
  <si>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</si>
  <si>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</si>
  <si>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</si>
  <si>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</si>
  <si>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</si>
  <si>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</si>
  <si>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</si>
  <si>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</si>
  <si>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</si>
  <si>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</si>
  <si>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</si>
  <si>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</si>
  <si>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</si>
  <si>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</si>
  <si>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</si>
  <si>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Inquiries</t>
  </si>
  <si>
    <t>Formal Investigations</t>
  </si>
  <si>
    <t>Sustained</t>
  </si>
  <si>
    <t>Not-Sustained</t>
  </si>
  <si>
    <t>Exhonerated</t>
  </si>
  <si>
    <t>Unfounded</t>
  </si>
  <si>
    <t>95-99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</si>
  <si>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</si>
  <si>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</si>
  <si>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</si>
  <si>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</si>
  <si>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</si>
  <si>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</si>
  <si>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</si>
  <si>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</si>
  <si>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</si>
  <si>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</si>
  <si>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</si>
  <si>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</si>
  <si>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</si>
  <si>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</si>
  <si>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</si>
  <si>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</si>
  <si>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</si>
  <si>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</si>
  <si>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</si>
  <si>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</si>
  <si>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</si>
  <si>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</si>
  <si>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</si>
  <si>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</si>
  <si>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</si>
  <si>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</si>
  <si>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</si>
  <si>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</si>
  <si>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</si>
  <si>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</si>
  <si>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</si>
  <si>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</si>
  <si>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</si>
  <si>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</si>
  <si>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</si>
  <si>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</si>
  <si>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</si>
  <si>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</si>
  <si>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</si>
  <si>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</si>
  <si>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</si>
  <si>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</si>
  <si>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</si>
  <si>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</si>
  <si>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</si>
  <si>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</si>
  <si>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Major Persons Crimes</t>
  </si>
  <si>
    <t>Other Crimes</t>
  </si>
  <si>
    <t>Bribery</t>
  </si>
  <si>
    <t>Complaints</t>
  </si>
  <si>
    <t>Assist</t>
  </si>
  <si>
    <t>STEP</t>
  </si>
  <si>
    <t>DWI Arrest</t>
  </si>
  <si>
    <t>DUI Arrest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</si>
  <si>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</si>
  <si>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</si>
  <si>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</si>
  <si>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</si>
  <si>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</si>
  <si>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</si>
  <si>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</si>
  <si>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</si>
  <si>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</si>
  <si>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</si>
  <si>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</si>
  <si>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</si>
  <si>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</si>
  <si>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</si>
  <si>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</si>
  <si>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</si>
  <si>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</si>
  <si>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</si>
  <si>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</si>
  <si>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</si>
  <si>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</si>
  <si>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</si>
  <si>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</si>
  <si>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</si>
  <si>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</si>
  <si>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Miles Driven</t>
  </si>
  <si>
    <t>Betting/Wagering</t>
  </si>
  <si>
    <t>Sent to Rescue Centers</t>
  </si>
  <si>
    <t>Adoptions</t>
  </si>
  <si>
    <t>Deceased Animals   Landfill lbs.</t>
  </si>
  <si>
    <t>Hispanic Male</t>
  </si>
  <si>
    <t>Hispanic Female</t>
  </si>
  <si>
    <t>Hispanic</t>
  </si>
  <si>
    <t>N/A</t>
  </si>
  <si>
    <t>Complaints Taken</t>
  </si>
  <si>
    <t>Compliant Followups</t>
  </si>
  <si>
    <t>Complaint Complaince</t>
  </si>
  <si>
    <t>Citations</t>
  </si>
  <si>
    <t>Verbal Warnings</t>
  </si>
  <si>
    <t>MINUTES BY ACTIVITY</t>
  </si>
  <si>
    <t>Office</t>
  </si>
  <si>
    <t>Admin(Non-Office)</t>
  </si>
  <si>
    <t>Community</t>
  </si>
  <si>
    <t>Training</t>
  </si>
  <si>
    <t>Patrol</t>
  </si>
  <si>
    <t>Land Line</t>
  </si>
  <si>
    <t>Cell Phone</t>
  </si>
  <si>
    <t>Admin Lines</t>
  </si>
  <si>
    <t>Jonesboro PD Calls</t>
  </si>
  <si>
    <t>Craighead Cty Sheriff</t>
  </si>
  <si>
    <t>Jonesboro Fire Dpt - dispatch</t>
  </si>
  <si>
    <t>Jonesboro Fire Dpt - Med Asst</t>
  </si>
  <si>
    <t>Craighead Cty - Fire</t>
  </si>
  <si>
    <t>Craighead Cty - 1st Responder</t>
  </si>
  <si>
    <t>Emerson Ambulance</t>
  </si>
  <si>
    <t>Medic One</t>
  </si>
  <si>
    <t>Air Evac</t>
  </si>
  <si>
    <t>Coroner</t>
  </si>
  <si>
    <t>ARK State Police</t>
  </si>
  <si>
    <t>Jonesboro Animal Control</t>
  </si>
  <si>
    <t>Wreckers Called</t>
  </si>
  <si>
    <t>Bay PD</t>
  </si>
  <si>
    <t>Bono PD</t>
  </si>
  <si>
    <t>Brookland PD</t>
  </si>
  <si>
    <t>Caraway PD</t>
  </si>
  <si>
    <t>Cash PD</t>
  </si>
  <si>
    <t>Egypt PD</t>
  </si>
  <si>
    <t>Lake City PD</t>
  </si>
  <si>
    <t>Monette PD</t>
  </si>
  <si>
    <t>Other/Bi-Racial/Unknown</t>
  </si>
  <si>
    <t>Other/Bi-Racial Male/Unknown</t>
  </si>
  <si>
    <t>Other/Bi-Racial Female/Unknown</t>
  </si>
  <si>
    <t>All Crime</t>
  </si>
  <si>
    <t>Property Crimes</t>
  </si>
  <si>
    <t>Officer Initiated Crime/Activity</t>
  </si>
  <si>
    <t>Incidents</t>
  </si>
  <si>
    <t>Investigations</t>
  </si>
  <si>
    <t>Assists</t>
  </si>
  <si>
    <t>Crimes Against Persons</t>
  </si>
  <si>
    <t>Crimes Against Children</t>
  </si>
  <si>
    <t>Race</t>
  </si>
  <si>
    <t>Gender</t>
  </si>
  <si>
    <t>Race by Gender</t>
  </si>
  <si>
    <t>Repair Costs by Model Year</t>
  </si>
  <si>
    <t>Routine Preventative Maintenance by Model Year</t>
  </si>
  <si>
    <t>Warrants by Activity</t>
  </si>
  <si>
    <t>Hours by Activity</t>
  </si>
  <si>
    <t>Calls by Type</t>
  </si>
  <si>
    <t>Calls by Agency</t>
  </si>
  <si>
    <t>Calls by Municipality</t>
  </si>
  <si>
    <t>Asian</t>
  </si>
  <si>
    <t>Arrests</t>
  </si>
  <si>
    <t>TOTAL Hours Worked</t>
  </si>
  <si>
    <t>Regular Hours Worked</t>
  </si>
  <si>
    <t>Overtime Hours Worked</t>
  </si>
  <si>
    <t>Total Arrests</t>
  </si>
  <si>
    <t>Mileage</t>
  </si>
  <si>
    <t>Miscellaneous</t>
  </si>
  <si>
    <t>Opened (TOTAL)</t>
  </si>
  <si>
    <t>Value of Assts Seized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</si>
</sst>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17"/>
      <name val="Arial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8" fontId="0" fillId="0" borderId="1" xfId="1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left"/>
    </xf>
    <xf numFmtId="8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44" fontId="0" fillId="0" borderId="1" xfId="1" applyFont="1" applyBorder="1" applyAlignment="1">
      <alignment horizontal="left"/>
    </xf>
    <xf numFmtId="8" fontId="4" fillId="0" borderId="1" xfId="0" applyNumberFormat="1" applyFont="1" applyBorder="1" applyAlignment="1">
      <alignment horizontal="left"/>
    </xf>
    <xf numFmtId="44" fontId="0" fillId="0" borderId="1" xfId="1" applyNumberFormat="1" applyFont="1" applyBorder="1" applyAlignment="1">
      <alignment horizontal="left"/>
    </xf>
    <xf numFmtId="44" fontId="0" fillId="0" borderId="1" xfId="0" applyNumberForma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0" fontId="2" fillId="0" borderId="1" xfId="0" applyNumberFormat="1" applyFont="1" applyFill="1" applyBorder="1" applyAlignment="1">
      <alignment horizontal="left"/>
    </xf>
    <xf numFmtId="10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8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8" fontId="2" fillId="3" borderId="1" xfId="0" applyNumberFormat="1" applyFont="1" applyFill="1" applyBorder="1" applyAlignment="1">
      <alignment horizontal="left"/>
    </xf>
    <xf numFmtId="9" fontId="0" fillId="0" borderId="1" xfId="2" applyFont="1" applyBorder="1" applyAlignment="1">
      <alignment horizontal="left"/>
    </xf>
    <xf numFmtId="9" fontId="2" fillId="0" borderId="1" xfId="2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0" fontId="7" fillId="0" borderId="1" xfId="0" applyNumberFormat="1" applyFont="1" applyBorder="1" applyAlignment="1">
      <alignment horizontal="left"/>
    </xf>
    <xf numFmtId="10" fontId="6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left"/>
    </xf>
    <xf numFmtId="9" fontId="5" fillId="0" borderId="1" xfId="0" applyNumberFormat="1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9" fontId="4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0" fontId="9" fillId="0" borderId="1" xfId="0" applyNumberFormat="1" applyFont="1" applyFill="1" applyBorder="1" applyAlignment="1">
      <alignment horizontal="left"/>
    </xf>
    <xf numFmtId="9" fontId="9" fillId="0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9" fontId="8" fillId="0" borderId="1" xfId="0" applyNumberFormat="1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9" fontId="8" fillId="0" borderId="1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left"/>
    </xf>
    <xf numFmtId="9" fontId="0" fillId="0" borderId="0" xfId="2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9" fontId="0" fillId="0" borderId="0" xfId="2" applyFont="1" applyFill="1" applyBorder="1" applyAlignment="1">
      <alignment horizontal="left"/>
    </xf>
    <xf numFmtId="10" fontId="2" fillId="3" borderId="1" xfId="0" applyNumberFormat="1" applyFont="1" applyFill="1" applyBorder="1" applyAlignment="1">
      <alignment horizontal="left"/>
    </xf>
    <xf numFmtId="6" fontId="0" fillId="0" borderId="1" xfId="0" applyNumberFormat="1" applyBorder="1" applyAlignment="1">
      <alignment horizontal="left"/>
    </xf>
    <xf numFmtId="10" fontId="0" fillId="0" borderId="0" xfId="0" applyNumberFormat="1" applyAlignment="1">
      <alignment horizontal="left"/>
    </xf>
    <xf numFmtId="10" fontId="10" fillId="0" borderId="1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9" fontId="4" fillId="0" borderId="1" xfId="2" applyFont="1" applyBorder="1" applyAlignment="1">
      <alignment horizontal="left"/>
    </xf>
    <xf numFmtId="9" fontId="4" fillId="4" borderId="1" xfId="2" applyFont="1" applyFill="1" applyBorder="1" applyAlignment="1">
      <alignment horizontal="left"/>
    </xf>
    <xf numFmtId="9" fontId="4" fillId="0" borderId="1" xfId="0" applyNumberFormat="1" applyFont="1" applyBorder="1" applyAlignment="1">
      <alignment horizontal="left"/>
    </xf>
    <xf numFmtId="9" fontId="2" fillId="0" borderId="1" xfId="0" applyNumberFormat="1" applyFont="1" applyFill="1" applyBorder="1" applyAlignment="1">
      <alignment horizontal="left"/>
    </xf>
    <xf numFmtId="8" fontId="4" fillId="0" borderId="1" xfId="1" applyNumberFormat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40"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Reports\Data\2009_NOV\Demographics%20St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Reports\Data\2009_NOV\Demographics%20Stats%20Last%20Year%20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Reports\Data\2009_NOV\Demographics%20Stats%20YT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Reports\Data\2009_NOV\Demographics%20Stats%20Last%20YT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C22">
            <v>178</v>
          </cell>
        </row>
        <row r="35">
          <cell r="C35">
            <v>1</v>
          </cell>
        </row>
        <row r="50">
          <cell r="C50">
            <v>225</v>
          </cell>
        </row>
        <row r="63">
          <cell r="C63">
            <v>1</v>
          </cell>
        </row>
        <row r="76">
          <cell r="C76">
            <v>22</v>
          </cell>
        </row>
        <row r="99">
          <cell r="C99">
            <v>17</v>
          </cell>
        </row>
        <row r="112">
          <cell r="C112">
            <v>13</v>
          </cell>
        </row>
        <row r="148">
          <cell r="C148">
            <v>4</v>
          </cell>
        </row>
        <row r="161">
          <cell r="C161">
            <v>139</v>
          </cell>
        </row>
        <row r="174">
          <cell r="C174">
            <v>9</v>
          </cell>
        </row>
        <row r="197">
          <cell r="C197">
            <v>13</v>
          </cell>
        </row>
        <row r="210">
          <cell r="C210">
            <v>1</v>
          </cell>
        </row>
        <row r="223">
          <cell r="C223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C21">
            <v>172</v>
          </cell>
        </row>
        <row r="35">
          <cell r="C35">
            <v>1</v>
          </cell>
        </row>
        <row r="50">
          <cell r="C50">
            <v>2</v>
          </cell>
        </row>
        <row r="63">
          <cell r="C63">
            <v>2</v>
          </cell>
        </row>
        <row r="76">
          <cell r="C76">
            <v>222</v>
          </cell>
        </row>
        <row r="91">
          <cell r="C91">
            <v>9</v>
          </cell>
        </row>
        <row r="117">
          <cell r="C117">
            <v>10</v>
          </cell>
        </row>
        <row r="131">
          <cell r="C131">
            <v>4</v>
          </cell>
        </row>
        <row r="145">
          <cell r="C145">
            <v>3</v>
          </cell>
        </row>
        <row r="180">
          <cell r="C180">
            <v>95</v>
          </cell>
        </row>
        <row r="193">
          <cell r="C193">
            <v>4</v>
          </cell>
        </row>
        <row r="206">
          <cell r="C206">
            <v>62</v>
          </cell>
        </row>
        <row r="219">
          <cell r="C21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C21">
            <v>1</v>
          </cell>
        </row>
        <row r="64">
          <cell r="C64">
            <v>177</v>
          </cell>
        </row>
        <row r="77">
          <cell r="C77">
            <v>2139</v>
          </cell>
        </row>
        <row r="99">
          <cell r="C99">
            <v>194</v>
          </cell>
        </row>
        <row r="112">
          <cell r="C112">
            <v>4</v>
          </cell>
        </row>
        <row r="125">
          <cell r="C125">
            <v>1</v>
          </cell>
        </row>
        <row r="148">
          <cell r="C148">
            <v>2</v>
          </cell>
        </row>
        <row r="161">
          <cell r="C161">
            <v>179</v>
          </cell>
        </row>
        <row r="174">
          <cell r="C174">
            <v>3</v>
          </cell>
        </row>
        <row r="197">
          <cell r="C197">
            <v>5</v>
          </cell>
        </row>
        <row r="210">
          <cell r="C210">
            <v>2392</v>
          </cell>
        </row>
        <row r="223">
          <cell r="C223">
            <v>4</v>
          </cell>
        </row>
        <row r="246">
          <cell r="C246">
            <v>28</v>
          </cell>
        </row>
        <row r="259">
          <cell r="C259">
            <v>1204</v>
          </cell>
        </row>
        <row r="272">
          <cell r="C272">
            <v>1</v>
          </cell>
        </row>
        <row r="295">
          <cell r="C295">
            <v>816</v>
          </cell>
        </row>
        <row r="308">
          <cell r="C308">
            <v>91</v>
          </cell>
        </row>
        <row r="321">
          <cell r="C321">
            <v>1</v>
          </cell>
        </row>
        <row r="344">
          <cell r="C344">
            <v>3</v>
          </cell>
        </row>
        <row r="357">
          <cell r="C357">
            <v>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C21">
            <v>1</v>
          </cell>
        </row>
        <row r="50">
          <cell r="C50">
            <v>1985</v>
          </cell>
        </row>
        <row r="63">
          <cell r="C63">
            <v>8</v>
          </cell>
        </row>
        <row r="76">
          <cell r="C76">
            <v>6</v>
          </cell>
        </row>
        <row r="99">
          <cell r="C99">
            <v>2312</v>
          </cell>
        </row>
        <row r="112">
          <cell r="C112">
            <v>169</v>
          </cell>
        </row>
        <row r="125">
          <cell r="C125">
            <v>4</v>
          </cell>
        </row>
        <row r="148">
          <cell r="C148">
            <v>87</v>
          </cell>
        </row>
        <row r="161">
          <cell r="C161">
            <v>6</v>
          </cell>
        </row>
        <row r="174">
          <cell r="C174">
            <v>2</v>
          </cell>
        </row>
        <row r="197">
          <cell r="C197">
            <v>5</v>
          </cell>
        </row>
        <row r="210">
          <cell r="C210">
            <v>87</v>
          </cell>
        </row>
        <row r="224">
          <cell r="C224">
            <v>18</v>
          </cell>
        </row>
        <row r="246">
          <cell r="C246">
            <v>1180</v>
          </cell>
        </row>
        <row r="260">
          <cell r="C260">
            <v>1</v>
          </cell>
        </row>
        <row r="273">
          <cell r="C273">
            <v>643</v>
          </cell>
        </row>
        <row r="286">
          <cell r="C286">
            <v>1</v>
          </cell>
        </row>
        <row r="299">
          <cell r="C299">
            <v>36</v>
          </cell>
        </row>
        <row r="322">
          <cell r="C322">
            <v>2</v>
          </cell>
        </row>
        <row r="335">
          <cell r="C335">
            <v>47</v>
          </cell>
        </row>
        <row r="348">
          <cell r="C348">
            <v>2</v>
          </cell>
        </row>
        <row r="371">
          <cell r="C37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/>
  </sheetViews>
  <sheetFormatPr defaultRowHeight="12.75"/>
  <cols>
    <col min="1" max="1" width="37.42578125" style="44" customWidth="1"/>
    <col min="2" max="2" width="11.28515625" style="44" customWidth="1"/>
    <col min="3" max="3" width="19.7109375" style="44" customWidth="1"/>
    <col min="4" max="5" width="9.140625" style="44"/>
    <col min="6" max="6" width="17.85546875" style="44" customWidth="1"/>
    <col min="7" max="7" width="14.7109375" style="44" customWidth="1"/>
    <col min="8" max="16384" width="9.140625" style="44"/>
  </cols>
  <sheetData>
    <row r="1" spans="1:7">
      <c r="A1" s="42" t="s">
        <v>143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</row>
    <row r="2" spans="1:7">
      <c r="A2" s="45" t="s">
        <v>121</v>
      </c>
      <c r="B2" s="39">
        <v>0</v>
      </c>
      <c r="C2" s="8">
        <v>0</v>
      </c>
      <c r="D2" s="39">
        <f>3</f>
        <v>3</v>
      </c>
      <c r="E2" s="39">
        <f>3</f>
        <v>3</v>
      </c>
      <c r="F2" s="46" t="e">
        <f>(B2-C2)/C2</f>
        <v>#DIV/0!</v>
      </c>
      <c r="G2" s="46">
        <f>(D2-E2)/E2</f>
        <v>0</v>
      </c>
    </row>
    <row r="3" spans="1:7">
      <c r="A3" s="45" t="s">
        <v>10</v>
      </c>
      <c r="B3" s="39">
        <v>2</v>
      </c>
      <c r="C3" s="39">
        <v>14</v>
      </c>
      <c r="D3" s="39">
        <f>70</f>
        <v>70</v>
      </c>
      <c r="E3" s="39">
        <f>99-8</f>
        <v>91</v>
      </c>
      <c r="F3" s="46">
        <f t="shared" ref="F3:F9" si="0">(B3-C3)/C3</f>
        <v>-0.8571428571428571</v>
      </c>
      <c r="G3" s="46">
        <f t="shared" ref="G3:G9" si="1">(D3-E3)/E3</f>
        <v>-0.23076923076923078</v>
      </c>
    </row>
    <row r="4" spans="1:7">
      <c r="A4" s="45" t="s">
        <v>105</v>
      </c>
      <c r="B4" s="39">
        <v>14</v>
      </c>
      <c r="C4" s="39">
        <v>10</v>
      </c>
      <c r="D4" s="39">
        <f>153-3</f>
        <v>150</v>
      </c>
      <c r="E4" s="39">
        <f>154-10</f>
        <v>144</v>
      </c>
      <c r="F4" s="46">
        <f t="shared" si="0"/>
        <v>0.4</v>
      </c>
      <c r="G4" s="46">
        <f t="shared" si="1"/>
        <v>4.1666666666666664E-2</v>
      </c>
    </row>
    <row r="5" spans="1:7">
      <c r="A5" s="45" t="s">
        <v>116</v>
      </c>
      <c r="B5" s="39">
        <v>1</v>
      </c>
      <c r="C5" s="39">
        <v>1</v>
      </c>
      <c r="D5" s="39">
        <f>21</f>
        <v>21</v>
      </c>
      <c r="E5" s="39">
        <f>11-1</f>
        <v>10</v>
      </c>
      <c r="F5" s="46">
        <f t="shared" si="0"/>
        <v>0</v>
      </c>
      <c r="G5" s="46">
        <f t="shared" si="1"/>
        <v>1.1000000000000001</v>
      </c>
    </row>
    <row r="6" spans="1:7">
      <c r="A6" s="45" t="s">
        <v>117</v>
      </c>
      <c r="B6" s="39">
        <v>3</v>
      </c>
      <c r="C6" s="39">
        <v>2</v>
      </c>
      <c r="D6" s="39">
        <f>24</f>
        <v>24</v>
      </c>
      <c r="E6" s="39">
        <f>32-4</f>
        <v>28</v>
      </c>
      <c r="F6" s="46">
        <f t="shared" si="0"/>
        <v>0.5</v>
      </c>
      <c r="G6" s="46">
        <f t="shared" si="1"/>
        <v>-0.14285714285714285</v>
      </c>
    </row>
    <row r="7" spans="1:7">
      <c r="A7" s="45" t="s">
        <v>118</v>
      </c>
      <c r="B7" s="39">
        <v>0</v>
      </c>
      <c r="C7" s="8">
        <v>0</v>
      </c>
      <c r="D7" s="39">
        <f>2</f>
        <v>2</v>
      </c>
      <c r="E7" s="39">
        <f>6</f>
        <v>6</v>
      </c>
      <c r="F7" s="46" t="e">
        <f t="shared" si="0"/>
        <v>#DIV/0!</v>
      </c>
      <c r="G7" s="46">
        <f t="shared" si="1"/>
        <v>-0.66666666666666663</v>
      </c>
    </row>
    <row r="8" spans="1:7">
      <c r="A8" s="45" t="s">
        <v>7</v>
      </c>
      <c r="B8" s="39">
        <v>3</v>
      </c>
      <c r="C8" s="39">
        <v>2</v>
      </c>
      <c r="D8" s="39">
        <f>18</f>
        <v>18</v>
      </c>
      <c r="E8" s="39">
        <f>23</f>
        <v>23</v>
      </c>
      <c r="F8" s="46">
        <f t="shared" si="0"/>
        <v>0.5</v>
      </c>
      <c r="G8" s="46">
        <f t="shared" si="1"/>
        <v>-0.21739130434782608</v>
      </c>
    </row>
    <row r="9" spans="1:7">
      <c r="A9" s="45" t="s">
        <v>126</v>
      </c>
      <c r="B9" s="8">
        <v>0</v>
      </c>
      <c r="C9" s="8">
        <v>0</v>
      </c>
      <c r="D9" s="39">
        <f>4</f>
        <v>4</v>
      </c>
      <c r="E9" s="39">
        <f>2</f>
        <v>2</v>
      </c>
      <c r="F9" s="46" t="e">
        <f t="shared" si="0"/>
        <v>#DIV/0!</v>
      </c>
      <c r="G9" s="46">
        <f t="shared" si="1"/>
        <v>1</v>
      </c>
    </row>
    <row r="10" spans="1:7">
      <c r="A10" s="45"/>
      <c r="B10" s="47"/>
      <c r="C10" s="47"/>
      <c r="D10" s="47"/>
      <c r="E10" s="47"/>
      <c r="F10" s="46"/>
      <c r="G10" s="47"/>
    </row>
    <row r="11" spans="1:7">
      <c r="A11" s="42" t="s">
        <v>102</v>
      </c>
      <c r="B11" s="47">
        <f>SUM(B2:B9)</f>
        <v>23</v>
      </c>
      <c r="C11" s="47">
        <f t="shared" ref="C11:E11" si="2">SUM(C2:C9)</f>
        <v>29</v>
      </c>
      <c r="D11" s="47">
        <f t="shared" si="2"/>
        <v>292</v>
      </c>
      <c r="E11" s="47">
        <f t="shared" si="2"/>
        <v>307</v>
      </c>
      <c r="F11" s="48">
        <f>(B11-C11)/C11</f>
        <v>-0.20689655172413793</v>
      </c>
      <c r="G11" s="48">
        <f>(D11-E11)/E11</f>
        <v>-4.8859934853420196E-2</v>
      </c>
    </row>
    <row r="12" spans="1:7">
      <c r="A12" s="43"/>
      <c r="B12" s="43"/>
      <c r="C12" s="43"/>
      <c r="D12" s="43"/>
      <c r="E12" s="43"/>
      <c r="F12" s="49"/>
      <c r="G12" s="49"/>
    </row>
    <row r="13" spans="1:7">
      <c r="A13" s="42" t="s">
        <v>224</v>
      </c>
      <c r="B13" s="42" t="s">
        <v>0</v>
      </c>
      <c r="C13" s="42" t="s">
        <v>1</v>
      </c>
      <c r="D13" s="42" t="s">
        <v>2</v>
      </c>
      <c r="E13" s="42" t="s">
        <v>3</v>
      </c>
      <c r="F13" s="42" t="s">
        <v>4</v>
      </c>
      <c r="G13" s="42" t="s">
        <v>5</v>
      </c>
    </row>
    <row r="14" spans="1:7">
      <c r="A14" s="50" t="s">
        <v>106</v>
      </c>
      <c r="B14" s="39">
        <v>103</v>
      </c>
      <c r="C14" s="39">
        <v>120</v>
      </c>
      <c r="D14" s="39">
        <f>1256-18</f>
        <v>1238</v>
      </c>
      <c r="E14" s="39">
        <f>1598-123</f>
        <v>1475</v>
      </c>
      <c r="F14" s="51">
        <f>(B14-C14)/C14</f>
        <v>-0.14166666666666666</v>
      </c>
      <c r="G14" s="51">
        <f t="shared" ref="G14:G31" si="3">(D14-E14)/E14</f>
        <v>-0.16067796610169491</v>
      </c>
    </row>
    <row r="15" spans="1:7">
      <c r="A15" s="50" t="s">
        <v>6</v>
      </c>
      <c r="B15" s="39">
        <v>2</v>
      </c>
      <c r="C15" s="39">
        <v>5</v>
      </c>
      <c r="D15" s="39">
        <f>8</f>
        <v>8</v>
      </c>
      <c r="E15" s="39">
        <f>18</f>
        <v>18</v>
      </c>
      <c r="F15" s="51">
        <f t="shared" ref="F15:F31" si="4">(B15-C15)/C15</f>
        <v>-0.6</v>
      </c>
      <c r="G15" s="51">
        <f t="shared" si="3"/>
        <v>-0.55555555555555558</v>
      </c>
    </row>
    <row r="16" spans="1:7">
      <c r="A16" s="50" t="s">
        <v>12</v>
      </c>
      <c r="B16" s="39">
        <v>15</v>
      </c>
      <c r="C16" s="39">
        <v>3</v>
      </c>
      <c r="D16" s="39">
        <f>102-4</f>
        <v>98</v>
      </c>
      <c r="E16" s="39">
        <f>90-6</f>
        <v>84</v>
      </c>
      <c r="F16" s="51">
        <f t="shared" si="4"/>
        <v>4</v>
      </c>
      <c r="G16" s="51">
        <f t="shared" si="3"/>
        <v>0.16666666666666666</v>
      </c>
    </row>
    <row r="17" spans="1:7">
      <c r="A17" s="50" t="s">
        <v>107</v>
      </c>
      <c r="B17" s="39">
        <v>98</v>
      </c>
      <c r="C17" s="39">
        <v>128</v>
      </c>
      <c r="D17" s="39">
        <f>1144-25</f>
        <v>1119</v>
      </c>
      <c r="E17" s="39">
        <f>1411-109</f>
        <v>1302</v>
      </c>
      <c r="F17" s="51">
        <f t="shared" si="4"/>
        <v>-0.234375</v>
      </c>
      <c r="G17" s="51">
        <f t="shared" si="3"/>
        <v>-0.14055299539170507</v>
      </c>
    </row>
    <row r="18" spans="1:7">
      <c r="A18" s="50" t="s">
        <v>108</v>
      </c>
      <c r="B18" s="39">
        <v>12</v>
      </c>
      <c r="C18" s="39">
        <v>17</v>
      </c>
      <c r="D18" s="39">
        <f>173-5</f>
        <v>168</v>
      </c>
      <c r="E18" s="39">
        <f>179-7</f>
        <v>172</v>
      </c>
      <c r="F18" s="51">
        <f t="shared" si="4"/>
        <v>-0.29411764705882354</v>
      </c>
      <c r="G18" s="51">
        <f t="shared" si="3"/>
        <v>-2.3255813953488372E-2</v>
      </c>
    </row>
    <row r="19" spans="1:7">
      <c r="A19" s="50" t="s">
        <v>109</v>
      </c>
      <c r="B19" s="39">
        <v>26</v>
      </c>
      <c r="C19" s="39">
        <v>14</v>
      </c>
      <c r="D19" s="39">
        <f>187-3</f>
        <v>184</v>
      </c>
      <c r="E19" s="39">
        <f>209-17</f>
        <v>192</v>
      </c>
      <c r="F19" s="51">
        <f t="shared" si="4"/>
        <v>0.8571428571428571</v>
      </c>
      <c r="G19" s="51">
        <f t="shared" si="3"/>
        <v>-4.1666666666666664E-2</v>
      </c>
    </row>
    <row r="20" spans="1:7">
      <c r="A20" s="50" t="s">
        <v>110</v>
      </c>
      <c r="B20" s="39">
        <v>76</v>
      </c>
      <c r="C20" s="39">
        <v>91</v>
      </c>
      <c r="D20" s="39">
        <f>982-21</f>
        <v>961</v>
      </c>
      <c r="E20" s="39">
        <f>1204-80</f>
        <v>1124</v>
      </c>
      <c r="F20" s="51">
        <f t="shared" si="4"/>
        <v>-0.16483516483516483</v>
      </c>
      <c r="G20" s="51">
        <f t="shared" si="3"/>
        <v>-0.14501779359430605</v>
      </c>
    </row>
    <row r="21" spans="1:7">
      <c r="A21" s="50" t="s">
        <v>115</v>
      </c>
      <c r="B21" s="39">
        <v>5</v>
      </c>
      <c r="C21" s="39">
        <v>3</v>
      </c>
      <c r="D21" s="39">
        <f>54-2</f>
        <v>52</v>
      </c>
      <c r="E21" s="39">
        <f>85-6</f>
        <v>79</v>
      </c>
      <c r="F21" s="51">
        <f t="shared" si="4"/>
        <v>0.66666666666666663</v>
      </c>
      <c r="G21" s="51">
        <f t="shared" si="3"/>
        <v>-0.34177215189873417</v>
      </c>
    </row>
    <row r="22" spans="1:7">
      <c r="A22" s="50" t="s">
        <v>127</v>
      </c>
      <c r="B22" s="39">
        <v>32</v>
      </c>
      <c r="C22" s="39">
        <v>45</v>
      </c>
      <c r="D22" s="39">
        <f>417-9</f>
        <v>408</v>
      </c>
      <c r="E22" s="39">
        <f>416-43</f>
        <v>373</v>
      </c>
      <c r="F22" s="51">
        <f t="shared" si="4"/>
        <v>-0.28888888888888886</v>
      </c>
      <c r="G22" s="51">
        <f t="shared" si="3"/>
        <v>9.3833780160857902E-2</v>
      </c>
    </row>
    <row r="23" spans="1:7">
      <c r="A23" s="50" t="s">
        <v>129</v>
      </c>
      <c r="B23" s="39">
        <v>2</v>
      </c>
      <c r="C23" s="39">
        <v>5</v>
      </c>
      <c r="D23" s="39">
        <f>45</f>
        <v>45</v>
      </c>
      <c r="E23" s="39">
        <f>69-6</f>
        <v>63</v>
      </c>
      <c r="F23" s="51">
        <f t="shared" si="4"/>
        <v>-0.6</v>
      </c>
      <c r="G23" s="51">
        <f t="shared" si="3"/>
        <v>-0.2857142857142857</v>
      </c>
    </row>
    <row r="24" spans="1:7">
      <c r="A24" s="50" t="s">
        <v>130</v>
      </c>
      <c r="B24" s="39">
        <v>57</v>
      </c>
      <c r="C24" s="39">
        <v>69</v>
      </c>
      <c r="D24" s="39">
        <f>622-12</f>
        <v>610</v>
      </c>
      <c r="E24" s="39">
        <f>720-66</f>
        <v>654</v>
      </c>
      <c r="F24" s="51">
        <f t="shared" si="4"/>
        <v>-0.17391304347826086</v>
      </c>
      <c r="G24" s="51">
        <f t="shared" si="3"/>
        <v>-6.7278287461773695E-2</v>
      </c>
    </row>
    <row r="25" spans="1:7">
      <c r="A25" s="50" t="s">
        <v>137</v>
      </c>
      <c r="B25" s="8">
        <v>0</v>
      </c>
      <c r="C25" s="8">
        <v>1</v>
      </c>
      <c r="D25" s="8">
        <f>0</f>
        <v>0</v>
      </c>
      <c r="E25" s="39">
        <f>3</f>
        <v>3</v>
      </c>
      <c r="F25" s="51">
        <f t="shared" si="4"/>
        <v>-1</v>
      </c>
      <c r="G25" s="51">
        <f t="shared" si="3"/>
        <v>-1</v>
      </c>
    </row>
    <row r="26" spans="1:7">
      <c r="A26" s="50" t="s">
        <v>131</v>
      </c>
      <c r="B26" s="39">
        <v>24</v>
      </c>
      <c r="C26" s="39">
        <v>37</v>
      </c>
      <c r="D26" s="39">
        <f>358-11</f>
        <v>347</v>
      </c>
      <c r="E26" s="39">
        <f>469-31</f>
        <v>438</v>
      </c>
      <c r="F26" s="51">
        <f t="shared" si="4"/>
        <v>-0.35135135135135137</v>
      </c>
      <c r="G26" s="51">
        <f t="shared" si="3"/>
        <v>-0.20776255707762556</v>
      </c>
    </row>
    <row r="27" spans="1:7">
      <c r="A27" s="50" t="s">
        <v>132</v>
      </c>
      <c r="B27" s="39">
        <v>5</v>
      </c>
      <c r="C27" s="39">
        <v>1</v>
      </c>
      <c r="D27" s="39">
        <f>46</f>
        <v>46</v>
      </c>
      <c r="E27" s="39">
        <f>59-3</f>
        <v>56</v>
      </c>
      <c r="F27" s="51">
        <f t="shared" si="4"/>
        <v>4</v>
      </c>
      <c r="G27" s="51">
        <f t="shared" si="3"/>
        <v>-0.17857142857142858</v>
      </c>
    </row>
    <row r="28" spans="1:7">
      <c r="A28" s="50" t="s">
        <v>8</v>
      </c>
      <c r="B28" s="39">
        <v>9</v>
      </c>
      <c r="C28" s="39">
        <v>9</v>
      </c>
      <c r="D28" s="39">
        <f>89</f>
        <v>89</v>
      </c>
      <c r="E28" s="39">
        <f>122-7</f>
        <v>115</v>
      </c>
      <c r="F28" s="51">
        <f t="shared" si="4"/>
        <v>0</v>
      </c>
      <c r="G28" s="51">
        <f t="shared" si="3"/>
        <v>-0.22608695652173913</v>
      </c>
    </row>
    <row r="29" spans="1:7">
      <c r="A29" s="50" t="s">
        <v>122</v>
      </c>
      <c r="B29" s="8">
        <v>0</v>
      </c>
      <c r="C29" s="8">
        <v>0</v>
      </c>
      <c r="D29" s="39">
        <f>4</f>
        <v>4</v>
      </c>
      <c r="E29" s="8">
        <f>0</f>
        <v>0</v>
      </c>
      <c r="F29" s="51" t="e">
        <f t="shared" si="4"/>
        <v>#DIV/0!</v>
      </c>
      <c r="G29" s="51" t="e">
        <f t="shared" si="3"/>
        <v>#DIV/0!</v>
      </c>
    </row>
    <row r="30" spans="1:7">
      <c r="A30" s="50" t="s">
        <v>123</v>
      </c>
      <c r="B30" s="8">
        <v>1</v>
      </c>
      <c r="C30" s="39">
        <v>1</v>
      </c>
      <c r="D30" s="39">
        <f>4</f>
        <v>4</v>
      </c>
      <c r="E30" s="39">
        <f>11</f>
        <v>11</v>
      </c>
      <c r="F30" s="51">
        <f t="shared" si="4"/>
        <v>0</v>
      </c>
      <c r="G30" s="51">
        <f t="shared" si="3"/>
        <v>-0.63636363636363635</v>
      </c>
    </row>
    <row r="31" spans="1:7">
      <c r="A31" s="50" t="s">
        <v>125</v>
      </c>
      <c r="B31" s="39">
        <v>4</v>
      </c>
      <c r="C31" s="39">
        <v>0</v>
      </c>
      <c r="D31" s="39">
        <f>19</f>
        <v>19</v>
      </c>
      <c r="E31" s="39">
        <f>19</f>
        <v>19</v>
      </c>
      <c r="F31" s="51" t="e">
        <f t="shared" si="4"/>
        <v>#DIV/0!</v>
      </c>
      <c r="G31" s="51">
        <f t="shared" si="3"/>
        <v>0</v>
      </c>
    </row>
    <row r="32" spans="1:7">
      <c r="A32" s="50"/>
      <c r="B32" s="47"/>
      <c r="C32" s="47"/>
      <c r="D32" s="47"/>
      <c r="E32" s="47"/>
      <c r="F32" s="47"/>
      <c r="G32" s="47"/>
    </row>
    <row r="33" spans="1:7">
      <c r="A33" s="52" t="s">
        <v>102</v>
      </c>
      <c r="B33" s="47">
        <f>SUM(B14:B31)</f>
        <v>471</v>
      </c>
      <c r="C33" s="47">
        <f t="shared" ref="C33:E33" si="5">SUM(C14:C31)</f>
        <v>549</v>
      </c>
      <c r="D33" s="47">
        <f t="shared" si="5"/>
        <v>5400</v>
      </c>
      <c r="E33" s="47">
        <f t="shared" si="5"/>
        <v>6178</v>
      </c>
      <c r="F33" s="49">
        <f>(B33-C33)/C33</f>
        <v>-0.14207650273224043</v>
      </c>
      <c r="G33" s="49">
        <f>(D33-E33)/E33</f>
        <v>-0.12593072191647783</v>
      </c>
    </row>
    <row r="34" spans="1:7">
      <c r="A34" s="43"/>
      <c r="B34" s="43"/>
      <c r="C34" s="43"/>
      <c r="D34" s="43"/>
      <c r="E34" s="43"/>
      <c r="F34" s="53"/>
      <c r="G34" s="53"/>
    </row>
    <row r="35" spans="1:7">
      <c r="A35" s="42" t="s">
        <v>225</v>
      </c>
      <c r="B35" s="42" t="s">
        <v>0</v>
      </c>
      <c r="C35" s="42" t="s">
        <v>1</v>
      </c>
      <c r="D35" s="42" t="s">
        <v>2</v>
      </c>
      <c r="E35" s="42" t="s">
        <v>3</v>
      </c>
      <c r="F35" s="42" t="s">
        <v>4</v>
      </c>
      <c r="G35" s="42" t="s">
        <v>5</v>
      </c>
    </row>
    <row r="36" spans="1:7">
      <c r="A36" s="45" t="s">
        <v>13</v>
      </c>
      <c r="B36" s="39">
        <v>8</v>
      </c>
      <c r="C36" s="8">
        <v>4</v>
      </c>
      <c r="D36" s="39">
        <f>30</f>
        <v>30</v>
      </c>
      <c r="E36" s="39">
        <f>16</f>
        <v>16</v>
      </c>
      <c r="F36" s="51">
        <f>(B36-C36)/C36</f>
        <v>1</v>
      </c>
      <c r="G36" s="51">
        <f t="shared" ref="G36:G47" si="6">(D36-E36)/E36</f>
        <v>0.875</v>
      </c>
    </row>
    <row r="37" spans="1:7">
      <c r="A37" s="45" t="s">
        <v>14</v>
      </c>
      <c r="B37" s="39">
        <v>9</v>
      </c>
      <c r="C37" s="39">
        <v>22</v>
      </c>
      <c r="D37" s="39">
        <f>146-2</f>
        <v>144</v>
      </c>
      <c r="E37" s="39">
        <f>221-12</f>
        <v>209</v>
      </c>
      <c r="F37" s="51">
        <f t="shared" ref="F37:F47" si="7">(B37-C37)/C37</f>
        <v>-0.59090909090909094</v>
      </c>
      <c r="G37" s="51">
        <f t="shared" si="6"/>
        <v>-0.31100478468899523</v>
      </c>
    </row>
    <row r="38" spans="1:7">
      <c r="A38" s="45" t="s">
        <v>111</v>
      </c>
      <c r="B38" s="39">
        <v>30</v>
      </c>
      <c r="C38" s="39">
        <v>37</v>
      </c>
      <c r="D38" s="39">
        <f>355-4</f>
        <v>351</v>
      </c>
      <c r="E38" s="39">
        <f>481-29</f>
        <v>452</v>
      </c>
      <c r="F38" s="51">
        <f t="shared" si="7"/>
        <v>-0.1891891891891892</v>
      </c>
      <c r="G38" s="51">
        <f t="shared" si="6"/>
        <v>-0.22345132743362831</v>
      </c>
    </row>
    <row r="39" spans="1:7">
      <c r="A39" s="45" t="s">
        <v>112</v>
      </c>
      <c r="B39" s="39">
        <v>13</v>
      </c>
      <c r="C39" s="39">
        <v>5</v>
      </c>
      <c r="D39" s="39">
        <f>151-2</f>
        <v>149</v>
      </c>
      <c r="E39" s="39">
        <f>82-4</f>
        <v>78</v>
      </c>
      <c r="F39" s="51">
        <f t="shared" si="7"/>
        <v>1.6</v>
      </c>
      <c r="G39" s="51">
        <f t="shared" si="6"/>
        <v>0.91025641025641024</v>
      </c>
    </row>
    <row r="40" spans="1:7">
      <c r="A40" s="45" t="s">
        <v>113</v>
      </c>
      <c r="B40" s="39">
        <v>48</v>
      </c>
      <c r="C40" s="39">
        <v>44</v>
      </c>
      <c r="D40" s="39">
        <f>572-5</f>
        <v>567</v>
      </c>
      <c r="E40" s="39">
        <f>586-45</f>
        <v>541</v>
      </c>
      <c r="F40" s="51">
        <f t="shared" si="7"/>
        <v>9.0909090909090912E-2</v>
      </c>
      <c r="G40" s="51">
        <f t="shared" si="6"/>
        <v>4.8059149722735672E-2</v>
      </c>
    </row>
    <row r="41" spans="1:7">
      <c r="A41" s="45" t="s">
        <v>114</v>
      </c>
      <c r="B41" s="39">
        <v>26</v>
      </c>
      <c r="C41" s="39">
        <v>29</v>
      </c>
      <c r="D41" s="39">
        <f>325-5</f>
        <v>320</v>
      </c>
      <c r="E41" s="39">
        <f>401-26</f>
        <v>375</v>
      </c>
      <c r="F41" s="51">
        <f t="shared" si="7"/>
        <v>-0.10344827586206896</v>
      </c>
      <c r="G41" s="51">
        <f t="shared" si="6"/>
        <v>-0.14666666666666667</v>
      </c>
    </row>
    <row r="42" spans="1:7">
      <c r="A42" s="45" t="s">
        <v>135</v>
      </c>
      <c r="B42" s="8">
        <v>0</v>
      </c>
      <c r="C42" s="8">
        <v>0</v>
      </c>
      <c r="D42" s="39">
        <f>2</f>
        <v>2</v>
      </c>
      <c r="E42" s="8">
        <f>0</f>
        <v>0</v>
      </c>
      <c r="F42" s="51" t="e">
        <f t="shared" si="7"/>
        <v>#DIV/0!</v>
      </c>
      <c r="G42" s="51" t="e">
        <f t="shared" si="6"/>
        <v>#DIV/0!</v>
      </c>
    </row>
    <row r="43" spans="1:7">
      <c r="A43" s="45" t="s">
        <v>16</v>
      </c>
      <c r="B43" s="39">
        <v>1</v>
      </c>
      <c r="C43" s="39">
        <v>2</v>
      </c>
      <c r="D43" s="39">
        <f>19</f>
        <v>19</v>
      </c>
      <c r="E43" s="39">
        <f>31-5</f>
        <v>26</v>
      </c>
      <c r="F43" s="51">
        <f t="shared" si="7"/>
        <v>-0.5</v>
      </c>
      <c r="G43" s="51">
        <f t="shared" si="6"/>
        <v>-0.26923076923076922</v>
      </c>
    </row>
    <row r="44" spans="1:7">
      <c r="A44" s="45" t="s">
        <v>124</v>
      </c>
      <c r="B44" s="8">
        <v>0</v>
      </c>
      <c r="C44" s="39">
        <v>0</v>
      </c>
      <c r="D44" s="39">
        <f>12</f>
        <v>12</v>
      </c>
      <c r="E44" s="39">
        <f>12</f>
        <v>12</v>
      </c>
      <c r="F44" s="51" t="e">
        <f t="shared" si="7"/>
        <v>#DIV/0!</v>
      </c>
      <c r="G44" s="51">
        <f t="shared" si="6"/>
        <v>0</v>
      </c>
    </row>
    <row r="45" spans="1:7">
      <c r="A45" s="45" t="s">
        <v>9</v>
      </c>
      <c r="B45" s="39">
        <v>7</v>
      </c>
      <c r="C45" s="8">
        <v>0</v>
      </c>
      <c r="D45" s="39">
        <f>11</f>
        <v>11</v>
      </c>
      <c r="E45" s="39">
        <f>2</f>
        <v>2</v>
      </c>
      <c r="F45" s="51" t="e">
        <f t="shared" si="7"/>
        <v>#DIV/0!</v>
      </c>
      <c r="G45" s="51">
        <f t="shared" si="6"/>
        <v>4.5</v>
      </c>
    </row>
    <row r="46" spans="1:7">
      <c r="A46" s="45" t="s">
        <v>134</v>
      </c>
      <c r="B46" s="39">
        <v>17</v>
      </c>
      <c r="C46" s="39">
        <v>20</v>
      </c>
      <c r="D46" s="39">
        <f>203-2</f>
        <v>201</v>
      </c>
      <c r="E46" s="39">
        <f>271-22</f>
        <v>249</v>
      </c>
      <c r="F46" s="51">
        <f t="shared" si="7"/>
        <v>-0.15</v>
      </c>
      <c r="G46" s="51">
        <f t="shared" si="6"/>
        <v>-0.19277108433734941</v>
      </c>
    </row>
    <row r="47" spans="1:7">
      <c r="A47" s="45" t="s">
        <v>11</v>
      </c>
      <c r="B47" s="39">
        <v>6</v>
      </c>
      <c r="C47" s="39">
        <v>4</v>
      </c>
      <c r="D47" s="39">
        <f>74</f>
        <v>74</v>
      </c>
      <c r="E47" s="39">
        <f>73-3</f>
        <v>70</v>
      </c>
      <c r="F47" s="51">
        <f t="shared" si="7"/>
        <v>0.5</v>
      </c>
      <c r="G47" s="51">
        <f t="shared" si="6"/>
        <v>5.7142857142857141E-2</v>
      </c>
    </row>
    <row r="48" spans="1:7">
      <c r="A48" s="45"/>
      <c r="B48" s="47"/>
      <c r="C48" s="47"/>
      <c r="D48" s="47"/>
      <c r="E48" s="47"/>
      <c r="F48" s="47"/>
      <c r="G48" s="47"/>
    </row>
    <row r="49" spans="1:7">
      <c r="A49" s="42" t="s">
        <v>102</v>
      </c>
      <c r="B49" s="47">
        <f>SUM(B36:B47)</f>
        <v>165</v>
      </c>
      <c r="C49" s="47">
        <f>SUM(C36:C47)</f>
        <v>167</v>
      </c>
      <c r="D49" s="47">
        <f>SUM(D36:D47)</f>
        <v>1880</v>
      </c>
      <c r="E49" s="47">
        <f>SUM(E36:E47)</f>
        <v>2030</v>
      </c>
      <c r="F49" s="49">
        <f>(B49-C49)/C49</f>
        <v>-1.1976047904191617E-2</v>
      </c>
      <c r="G49" s="49">
        <f>(D49-E49)/E49</f>
        <v>-7.3891625615763554E-2</v>
      </c>
    </row>
    <row r="50" spans="1:7">
      <c r="A50" s="43"/>
      <c r="B50" s="43"/>
      <c r="C50" s="43"/>
      <c r="D50" s="43"/>
      <c r="E50" s="43"/>
      <c r="F50" s="53"/>
      <c r="G50" s="53"/>
    </row>
    <row r="51" spans="1:7">
      <c r="A51" s="42" t="s">
        <v>144</v>
      </c>
      <c r="B51" s="42" t="s">
        <v>0</v>
      </c>
      <c r="C51" s="42" t="s">
        <v>1</v>
      </c>
      <c r="D51" s="42" t="s">
        <v>2</v>
      </c>
      <c r="E51" s="42" t="s">
        <v>3</v>
      </c>
      <c r="F51" s="42" t="s">
        <v>4</v>
      </c>
      <c r="G51" s="42" t="s">
        <v>5</v>
      </c>
    </row>
    <row r="52" spans="1:7">
      <c r="A52" s="45" t="s">
        <v>119</v>
      </c>
      <c r="B52" s="39">
        <v>0</v>
      </c>
      <c r="C52" s="8">
        <v>0</v>
      </c>
      <c r="D52" s="39">
        <f>6-1</f>
        <v>5</v>
      </c>
      <c r="E52" s="39">
        <f>4</f>
        <v>4</v>
      </c>
      <c r="F52" s="51" t="e">
        <f>(B52-C52)/C52</f>
        <v>#DIV/0!</v>
      </c>
      <c r="G52" s="51">
        <f t="shared" ref="G52:G60" si="8">(D52-E52)/E52</f>
        <v>0.25</v>
      </c>
    </row>
    <row r="53" spans="1:7">
      <c r="A53" s="45" t="s">
        <v>136</v>
      </c>
      <c r="B53" s="8">
        <v>0</v>
      </c>
      <c r="C53" s="8">
        <v>0</v>
      </c>
      <c r="D53" s="39">
        <f>2</f>
        <v>2</v>
      </c>
      <c r="E53" s="39">
        <f>3</f>
        <v>3</v>
      </c>
      <c r="F53" s="51" t="e">
        <f t="shared" ref="F53:F61" si="9">(B53-C53)/C53</f>
        <v>#DIV/0!</v>
      </c>
      <c r="G53" s="51">
        <f t="shared" si="8"/>
        <v>-0.33333333333333331</v>
      </c>
    </row>
    <row r="54" spans="1:7">
      <c r="A54" s="45" t="s">
        <v>120</v>
      </c>
      <c r="B54" s="39">
        <v>56</v>
      </c>
      <c r="C54" s="39">
        <v>54</v>
      </c>
      <c r="D54" s="39">
        <f>621-9</f>
        <v>612</v>
      </c>
      <c r="E54" s="39">
        <f>900-58</f>
        <v>842</v>
      </c>
      <c r="F54" s="51">
        <f t="shared" si="9"/>
        <v>3.7037037037037035E-2</v>
      </c>
      <c r="G54" s="51">
        <f t="shared" si="8"/>
        <v>-0.27315914489311166</v>
      </c>
    </row>
    <row r="55" spans="1:7">
      <c r="A55" s="45" t="s">
        <v>139</v>
      </c>
      <c r="B55" s="8">
        <v>0</v>
      </c>
      <c r="C55" s="8">
        <v>0</v>
      </c>
      <c r="D55" s="8">
        <f>0</f>
        <v>0</v>
      </c>
      <c r="E55" s="8">
        <f>0</f>
        <v>0</v>
      </c>
      <c r="F55" s="51" t="e">
        <f t="shared" si="9"/>
        <v>#DIV/0!</v>
      </c>
      <c r="G55" s="51" t="e">
        <f t="shared" si="8"/>
        <v>#DIV/0!</v>
      </c>
    </row>
    <row r="56" spans="1:7">
      <c r="A56" s="45" t="s">
        <v>18</v>
      </c>
      <c r="B56" s="39">
        <v>598</v>
      </c>
      <c r="C56" s="39">
        <v>462</v>
      </c>
      <c r="D56" s="39">
        <f>5983-131</f>
        <v>5852</v>
      </c>
      <c r="E56" s="39">
        <f>5154-374</f>
        <v>4780</v>
      </c>
      <c r="F56" s="51">
        <f t="shared" si="9"/>
        <v>0.2943722943722944</v>
      </c>
      <c r="G56" s="51">
        <f t="shared" si="8"/>
        <v>0.22426778242677825</v>
      </c>
    </row>
    <row r="57" spans="1:7">
      <c r="A57" s="45" t="s">
        <v>133</v>
      </c>
      <c r="B57" s="8">
        <v>0</v>
      </c>
      <c r="C57" s="8">
        <v>0</v>
      </c>
      <c r="D57" s="8">
        <v>0</v>
      </c>
      <c r="E57" s="8">
        <f>0</f>
        <v>0</v>
      </c>
      <c r="F57" s="51" t="e">
        <f t="shared" si="9"/>
        <v>#DIV/0!</v>
      </c>
      <c r="G57" s="51" t="e">
        <f t="shared" si="8"/>
        <v>#DIV/0!</v>
      </c>
    </row>
    <row r="58" spans="1:7">
      <c r="A58" s="45" t="s">
        <v>128</v>
      </c>
      <c r="B58" s="39">
        <v>33</v>
      </c>
      <c r="C58" s="39">
        <v>50</v>
      </c>
      <c r="D58" s="39">
        <f>492-7</f>
        <v>485</v>
      </c>
      <c r="E58" s="39">
        <f>612-39</f>
        <v>573</v>
      </c>
      <c r="F58" s="51">
        <f t="shared" si="9"/>
        <v>-0.34</v>
      </c>
      <c r="G58" s="51">
        <f t="shared" si="8"/>
        <v>-0.15357766143106458</v>
      </c>
    </row>
    <row r="59" spans="1:7">
      <c r="A59" s="45" t="s">
        <v>17</v>
      </c>
      <c r="B59" s="39">
        <v>12</v>
      </c>
      <c r="C59" s="39">
        <v>4</v>
      </c>
      <c r="D59" s="39">
        <f>109-3</f>
        <v>106</v>
      </c>
      <c r="E59" s="39">
        <f>106-8</f>
        <v>98</v>
      </c>
      <c r="F59" s="51">
        <f t="shared" si="9"/>
        <v>2</v>
      </c>
      <c r="G59" s="51">
        <f t="shared" si="8"/>
        <v>8.1632653061224483E-2</v>
      </c>
    </row>
    <row r="60" spans="1:7">
      <c r="A60" s="45" t="s">
        <v>177</v>
      </c>
      <c r="B60" s="8">
        <v>0</v>
      </c>
      <c r="C60" s="39">
        <v>0</v>
      </c>
      <c r="D60" s="39">
        <f>4</f>
        <v>4</v>
      </c>
      <c r="E60" s="39">
        <f>0</f>
        <v>0</v>
      </c>
      <c r="F60" s="51" t="e">
        <f t="shared" si="9"/>
        <v>#DIV/0!</v>
      </c>
      <c r="G60" s="51" t="e">
        <f t="shared" si="8"/>
        <v>#DIV/0!</v>
      </c>
    </row>
    <row r="61" spans="1:7">
      <c r="A61" s="45" t="s">
        <v>145</v>
      </c>
      <c r="B61" s="8">
        <v>0</v>
      </c>
      <c r="C61" s="39">
        <v>0</v>
      </c>
      <c r="D61" s="8">
        <f>0</f>
        <v>0</v>
      </c>
      <c r="E61" s="8">
        <f>0</f>
        <v>0</v>
      </c>
      <c r="F61" s="51" t="e">
        <f t="shared" si="9"/>
        <v>#DIV/0!</v>
      </c>
      <c r="G61" s="51"/>
    </row>
    <row r="62" spans="1:7">
      <c r="A62" s="45"/>
      <c r="B62" s="47"/>
      <c r="C62" s="47"/>
      <c r="D62" s="47"/>
      <c r="E62" s="47"/>
      <c r="F62" s="47"/>
      <c r="G62" s="47"/>
    </row>
    <row r="63" spans="1:7">
      <c r="A63" s="42" t="s">
        <v>102</v>
      </c>
      <c r="B63" s="47">
        <f>SUM(B52:B61)</f>
        <v>699</v>
      </c>
      <c r="C63" s="47">
        <f>SUM(C52:C61)</f>
        <v>570</v>
      </c>
      <c r="D63" s="47">
        <f>SUM(D52:D61)</f>
        <v>7066</v>
      </c>
      <c r="E63" s="47">
        <f>SUM(E52:E61)</f>
        <v>6300</v>
      </c>
      <c r="F63" s="49">
        <f>(B63-C63)/C63</f>
        <v>0.22631578947368422</v>
      </c>
      <c r="G63" s="49">
        <f>(D63-E63)/E63</f>
        <v>0.12158730158730159</v>
      </c>
    </row>
  </sheetData>
  <phoneticPr fontId="3" type="noConversion"/>
  <conditionalFormatting sqref="F3:F10 F2:G9 F14:G31 F36:G47">
    <cfRule type="cellIs" dxfId="39" priority="145" stopIfTrue="1" operator="greaterThan">
      <formula>0</formula>
    </cfRule>
    <cfRule type="cellIs" dxfId="38" priority="146" stopIfTrue="1" operator="lessThan">
      <formula>0</formula>
    </cfRule>
    <cfRule type="cellIs" dxfId="37" priority="147" stopIfTrue="1" operator="equal">
      <formula>0</formula>
    </cfRule>
  </conditionalFormatting>
  <conditionalFormatting sqref="G14:G31">
    <cfRule type="cellIs" dxfId="36" priority="148" stopIfTrue="1" operator="lessThan">
      <formula>0</formula>
    </cfRule>
    <cfRule type="cellIs" dxfId="35" priority="149" stopIfTrue="1" operator="greaterThan">
      <formula>0</formula>
    </cfRule>
  </conditionalFormatting>
  <conditionalFormatting sqref="G36:G47">
    <cfRule type="cellIs" dxfId="34" priority="150" stopIfTrue="1" operator="greaterThan">
      <formula>0</formula>
    </cfRule>
    <cfRule type="cellIs" dxfId="33" priority="151" stopIfTrue="1" operator="lessThan">
      <formula>0</formula>
    </cfRule>
  </conditionalFormatting>
  <conditionalFormatting sqref="F52:G61">
    <cfRule type="cellIs" dxfId="32" priority="28" stopIfTrue="1" operator="greaterThan">
      <formula>0</formula>
    </cfRule>
    <cfRule type="cellIs" dxfId="31" priority="29" stopIfTrue="1" operator="lessThan">
      <formula>0</formula>
    </cfRule>
    <cfRule type="cellIs" dxfId="30" priority="30" stopIfTrue="1" operator="equal">
      <formula>0</formula>
    </cfRule>
  </conditionalFormatting>
  <conditionalFormatting sqref="F53:G53">
    <cfRule type="cellIs" dxfId="29" priority="25" stopIfTrue="1" operator="greaterThan">
      <formula>0</formula>
    </cfRule>
    <cfRule type="cellIs" dxfId="28" priority="26" stopIfTrue="1" operator="lessThan">
      <formula>0</formula>
    </cfRule>
    <cfRule type="cellIs" dxfId="27" priority="27" stopIfTrue="1" operator="equal">
      <formula>0</formula>
    </cfRule>
  </conditionalFormatting>
  <conditionalFormatting sqref="F54:G54">
    <cfRule type="cellIs" dxfId="26" priority="22" stopIfTrue="1" operator="greaterThan">
      <formula>0</formula>
    </cfRule>
    <cfRule type="cellIs" dxfId="25" priority="23" stopIfTrue="1" operator="lessThan">
      <formula>0</formula>
    </cfRule>
    <cfRule type="cellIs" dxfId="24" priority="24" stopIfTrue="1" operator="equal">
      <formula>0</formula>
    </cfRule>
  </conditionalFormatting>
  <conditionalFormatting sqref="F55:G55">
    <cfRule type="cellIs" dxfId="23" priority="19" stopIfTrue="1" operator="greaterThan">
      <formula>0</formula>
    </cfRule>
    <cfRule type="cellIs" dxfId="22" priority="20" stopIfTrue="1" operator="lessThan">
      <formula>0</formula>
    </cfRule>
    <cfRule type="cellIs" dxfId="21" priority="21" stopIfTrue="1" operator="equal">
      <formula>0</formula>
    </cfRule>
  </conditionalFormatting>
  <conditionalFormatting sqref="F56:G56">
    <cfRule type="cellIs" dxfId="20" priority="16" stopIfTrue="1" operator="greaterThan">
      <formula>0</formula>
    </cfRule>
    <cfRule type="cellIs" dxfId="19" priority="17" stopIfTrue="1" operator="lessThan">
      <formula>0</formula>
    </cfRule>
    <cfRule type="cellIs" dxfId="18" priority="18" stopIfTrue="1" operator="equal">
      <formula>0</formula>
    </cfRule>
  </conditionalFormatting>
  <conditionalFormatting sqref="F57:G57">
    <cfRule type="cellIs" dxfId="17" priority="13" stopIfTrue="1" operator="greaterThan">
      <formula>0</formula>
    </cfRule>
    <cfRule type="cellIs" dxfId="16" priority="14" stopIfTrue="1" operator="lessThan">
      <formula>0</formula>
    </cfRule>
    <cfRule type="cellIs" dxfId="15" priority="15" stopIfTrue="1" operator="equal">
      <formula>0</formula>
    </cfRule>
  </conditionalFormatting>
  <conditionalFormatting sqref="F58:G58">
    <cfRule type="cellIs" dxfId="14" priority="10" stopIfTrue="1" operator="greaterThan">
      <formula>0</formula>
    </cfRule>
    <cfRule type="cellIs" dxfId="13" priority="11" stopIfTrue="1" operator="lessThan">
      <formula>0</formula>
    </cfRule>
    <cfRule type="cellIs" dxfId="12" priority="12" stopIfTrue="1" operator="equal">
      <formula>0</formula>
    </cfRule>
  </conditionalFormatting>
  <conditionalFormatting sqref="F59:G59">
    <cfRule type="cellIs" dxfId="11" priority="7" stopIfTrue="1" operator="greaterThan">
      <formula>0</formula>
    </cfRule>
    <cfRule type="cellIs" dxfId="10" priority="8" stopIfTrue="1" operator="lessThan">
      <formula>0</formula>
    </cfRule>
    <cfRule type="cellIs" dxfId="9" priority="9" stopIfTrue="1" operator="equal">
      <formula>0</formula>
    </cfRule>
  </conditionalFormatting>
  <conditionalFormatting sqref="F60:G60">
    <cfRule type="cellIs" dxfId="8" priority="4" stopIfTrue="1" operator="greaterThan">
      <formula>0</formula>
    </cfRule>
    <cfRule type="cellIs" dxfId="7" priority="5" stopIfTrue="1" operator="lessThan">
      <formula>0</formula>
    </cfRule>
    <cfRule type="cellIs" dxfId="6" priority="6" stopIfTrue="1" operator="equal">
      <formula>0</formula>
    </cfRule>
  </conditionalFormatting>
  <conditionalFormatting sqref="F61:G61">
    <cfRule type="cellIs" dxfId="5" priority="1" stopIfTrue="1" operator="greaterThan">
      <formula>0</formula>
    </cfRule>
    <cfRule type="cellIs" dxfId="4" priority="2" stopIfTrue="1" operator="lessThan">
      <formula>0</formula>
    </cfRule>
    <cfRule type="cellIs" dxfId="3" priority="3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sqref="A1:G20"/>
    </sheetView>
  </sheetViews>
  <sheetFormatPr defaultRowHeight="12.75"/>
  <cols>
    <col min="1" max="1" width="25.7109375" style="19" customWidth="1"/>
    <col min="2" max="2" width="11" style="19" customWidth="1"/>
    <col min="3" max="3" width="20.5703125" style="19" customWidth="1"/>
    <col min="4" max="5" width="9.140625" style="19"/>
    <col min="6" max="6" width="17.7109375" style="19" customWidth="1"/>
    <col min="7" max="7" width="12.85546875" style="19" customWidth="1"/>
    <col min="8" max="16384" width="9.140625" style="19"/>
  </cols>
  <sheetData>
    <row r="1" spans="1:7">
      <c r="A1" s="1" t="s">
        <v>226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5" t="s">
        <v>19</v>
      </c>
      <c r="B2" s="21">
        <v>112</v>
      </c>
      <c r="C2" s="21">
        <v>95</v>
      </c>
      <c r="D2" s="21">
        <v>1388</v>
      </c>
      <c r="E2" s="16">
        <v>797</v>
      </c>
      <c r="F2" s="30">
        <f>(B2-C2)/C2</f>
        <v>0.17894736842105263</v>
      </c>
      <c r="G2" s="30">
        <f>(D2-E2)/E2</f>
        <v>0.74153074027603516</v>
      </c>
    </row>
    <row r="3" spans="1:7">
      <c r="A3" s="15" t="s">
        <v>20</v>
      </c>
      <c r="B3" s="21">
        <v>40</v>
      </c>
      <c r="C3" s="21">
        <v>29</v>
      </c>
      <c r="D3" s="21">
        <v>442</v>
      </c>
      <c r="E3" s="16">
        <v>271</v>
      </c>
      <c r="F3" s="30">
        <f t="shared" ref="F3:F14" si="0">(B3-C3)/C3</f>
        <v>0.37931034482758619</v>
      </c>
      <c r="G3" s="30">
        <f t="shared" ref="G3:G14" si="1">(D3-E3)/E3</f>
        <v>0.63099630996309963</v>
      </c>
    </row>
    <row r="4" spans="1:7">
      <c r="A4" s="15" t="s">
        <v>21</v>
      </c>
      <c r="B4" s="21">
        <v>218</v>
      </c>
      <c r="C4" s="21">
        <v>190</v>
      </c>
      <c r="D4" s="21">
        <v>2974</v>
      </c>
      <c r="E4" s="16">
        <v>2163</v>
      </c>
      <c r="F4" s="30">
        <f t="shared" si="0"/>
        <v>0.14736842105263157</v>
      </c>
      <c r="G4" s="30">
        <f t="shared" si="1"/>
        <v>0.37494220989366622</v>
      </c>
    </row>
    <row r="5" spans="1:7">
      <c r="A5" s="15" t="s">
        <v>15</v>
      </c>
      <c r="B5" s="16">
        <v>2</v>
      </c>
      <c r="C5" s="16">
        <v>5</v>
      </c>
      <c r="D5" s="16">
        <v>35</v>
      </c>
      <c r="E5" s="16">
        <v>36</v>
      </c>
      <c r="F5" s="30">
        <f t="shared" si="0"/>
        <v>-0.6</v>
      </c>
      <c r="G5" s="30">
        <f t="shared" si="1"/>
        <v>-2.7777777777777776E-2</v>
      </c>
    </row>
    <row r="6" spans="1:7">
      <c r="A6" s="15" t="s">
        <v>22</v>
      </c>
      <c r="B6" s="16">
        <v>10</v>
      </c>
      <c r="C6" s="16">
        <v>25</v>
      </c>
      <c r="D6" s="16">
        <v>259</v>
      </c>
      <c r="E6" s="16">
        <v>136</v>
      </c>
      <c r="F6" s="30">
        <f t="shared" si="0"/>
        <v>-0.6</v>
      </c>
      <c r="G6" s="30">
        <f t="shared" si="1"/>
        <v>0.90441176470588236</v>
      </c>
    </row>
    <row r="7" spans="1:7">
      <c r="A7" s="15" t="s">
        <v>23</v>
      </c>
      <c r="B7" s="16">
        <v>1</v>
      </c>
      <c r="C7" s="16">
        <v>0</v>
      </c>
      <c r="D7" s="16">
        <v>14</v>
      </c>
      <c r="E7" s="16">
        <v>5</v>
      </c>
      <c r="F7" s="30" t="e">
        <f t="shared" si="0"/>
        <v>#DIV/0!</v>
      </c>
      <c r="G7" s="30">
        <f t="shared" si="1"/>
        <v>1.8</v>
      </c>
    </row>
    <row r="8" spans="1:7">
      <c r="A8" s="15" t="s">
        <v>32</v>
      </c>
      <c r="B8" s="16">
        <v>0</v>
      </c>
      <c r="C8" s="16">
        <v>0</v>
      </c>
      <c r="D8" s="16">
        <v>0</v>
      </c>
      <c r="E8" s="16">
        <v>0</v>
      </c>
      <c r="F8" s="30" t="e">
        <f t="shared" si="0"/>
        <v>#DIV/0!</v>
      </c>
      <c r="G8" s="30" t="e">
        <f t="shared" si="1"/>
        <v>#DIV/0!</v>
      </c>
    </row>
    <row r="9" spans="1:7">
      <c r="A9" s="15" t="s">
        <v>31</v>
      </c>
      <c r="B9" s="16">
        <v>0</v>
      </c>
      <c r="C9" s="16">
        <v>0</v>
      </c>
      <c r="D9" s="16">
        <v>0</v>
      </c>
      <c r="E9" s="16">
        <v>0</v>
      </c>
      <c r="F9" s="30" t="e">
        <f t="shared" si="0"/>
        <v>#DIV/0!</v>
      </c>
      <c r="G9" s="30" t="e">
        <f t="shared" si="1"/>
        <v>#DIV/0!</v>
      </c>
    </row>
    <row r="10" spans="1:7">
      <c r="A10" s="15" t="s">
        <v>24</v>
      </c>
      <c r="B10" s="16">
        <v>0</v>
      </c>
      <c r="C10" s="16">
        <v>0</v>
      </c>
      <c r="D10" s="16">
        <v>0</v>
      </c>
      <c r="E10" s="16">
        <v>0</v>
      </c>
      <c r="F10" s="30" t="e">
        <f t="shared" si="0"/>
        <v>#DIV/0!</v>
      </c>
      <c r="G10" s="30" t="e">
        <f t="shared" si="1"/>
        <v>#DIV/0!</v>
      </c>
    </row>
    <row r="11" spans="1:7">
      <c r="A11" s="15" t="s">
        <v>25</v>
      </c>
      <c r="B11" s="16">
        <v>202</v>
      </c>
      <c r="C11" s="16">
        <v>188</v>
      </c>
      <c r="D11" s="16">
        <v>2571</v>
      </c>
      <c r="E11" s="16">
        <v>939</v>
      </c>
      <c r="F11" s="30">
        <f t="shared" si="0"/>
        <v>7.4468085106382975E-2</v>
      </c>
      <c r="G11" s="30">
        <f t="shared" si="1"/>
        <v>1.7380191693290734</v>
      </c>
    </row>
    <row r="12" spans="1:7">
      <c r="A12" s="15" t="s">
        <v>26</v>
      </c>
      <c r="B12" s="16">
        <v>0</v>
      </c>
      <c r="C12" s="16">
        <v>2</v>
      </c>
      <c r="D12" s="16">
        <v>20</v>
      </c>
      <c r="E12" s="16">
        <v>15</v>
      </c>
      <c r="F12" s="30">
        <f t="shared" si="0"/>
        <v>-1</v>
      </c>
      <c r="G12" s="30">
        <f t="shared" si="1"/>
        <v>0.33333333333333331</v>
      </c>
    </row>
    <row r="13" spans="1:7">
      <c r="A13" s="15" t="s">
        <v>27</v>
      </c>
      <c r="B13" s="16">
        <v>0</v>
      </c>
      <c r="C13" s="16">
        <v>0</v>
      </c>
      <c r="D13" s="16">
        <v>27</v>
      </c>
      <c r="E13" s="16">
        <v>0</v>
      </c>
      <c r="F13" s="30" t="e">
        <f t="shared" si="0"/>
        <v>#DIV/0!</v>
      </c>
      <c r="G13" s="30" t="e">
        <f t="shared" si="1"/>
        <v>#DIV/0!</v>
      </c>
    </row>
    <row r="14" spans="1:7">
      <c r="A14" s="15" t="s">
        <v>28</v>
      </c>
      <c r="B14" s="16">
        <v>29</v>
      </c>
      <c r="C14" s="16">
        <v>7</v>
      </c>
      <c r="D14" s="16">
        <v>73</v>
      </c>
      <c r="E14" s="16">
        <v>55</v>
      </c>
      <c r="F14" s="30">
        <f t="shared" si="0"/>
        <v>3.1428571428571428</v>
      </c>
      <c r="G14" s="30">
        <f t="shared" si="1"/>
        <v>0.32727272727272727</v>
      </c>
    </row>
    <row r="15" spans="1:7">
      <c r="A15" s="15"/>
      <c r="B15" s="16"/>
      <c r="C15" s="16"/>
      <c r="D15" s="16"/>
      <c r="E15" s="16"/>
      <c r="F15" s="30"/>
      <c r="G15" s="30"/>
    </row>
    <row r="16" spans="1:7">
      <c r="A16" s="2" t="s">
        <v>102</v>
      </c>
      <c r="B16" s="20">
        <f>SUM(B2:B15)</f>
        <v>614</v>
      </c>
      <c r="C16" s="20">
        <f t="shared" ref="C16:E16" si="2">SUM(C2:C15)</f>
        <v>541</v>
      </c>
      <c r="D16" s="20">
        <f t="shared" si="2"/>
        <v>7803</v>
      </c>
      <c r="E16" s="20">
        <f t="shared" si="2"/>
        <v>4417</v>
      </c>
      <c r="F16" s="31">
        <f t="shared" ref="F16:F20" si="3">(B16-C16)/C16</f>
        <v>0.13493530499075784</v>
      </c>
      <c r="G16" s="31">
        <f t="shared" ref="G16:G20" si="4">(D16-E16)/E16</f>
        <v>0.76658365406384421</v>
      </c>
    </row>
    <row r="17" spans="1:8">
      <c r="A17" s="20"/>
      <c r="B17" s="20"/>
      <c r="C17" s="20"/>
      <c r="D17" s="20"/>
      <c r="E17" s="20"/>
      <c r="F17" s="31"/>
      <c r="G17" s="31"/>
    </row>
    <row r="18" spans="1:8">
      <c r="A18" s="15" t="s">
        <v>29</v>
      </c>
      <c r="B18" s="35">
        <v>4755</v>
      </c>
      <c r="C18" s="35">
        <v>3392</v>
      </c>
      <c r="D18" s="35">
        <v>56801</v>
      </c>
      <c r="E18" s="35">
        <v>28366</v>
      </c>
      <c r="F18" s="30">
        <f t="shared" si="3"/>
        <v>0.40182783018867924</v>
      </c>
      <c r="G18" s="30">
        <f t="shared" si="4"/>
        <v>1.0024324896002257</v>
      </c>
    </row>
    <row r="19" spans="1:8">
      <c r="A19" s="16"/>
      <c r="B19" s="35"/>
      <c r="C19" s="35"/>
      <c r="D19" s="35"/>
      <c r="E19" s="35"/>
      <c r="F19" s="30"/>
      <c r="G19" s="30"/>
    </row>
    <row r="20" spans="1:8">
      <c r="A20" s="15" t="s">
        <v>142</v>
      </c>
      <c r="B20" s="16">
        <v>726</v>
      </c>
      <c r="C20" s="16">
        <v>575</v>
      </c>
      <c r="D20" s="16">
        <v>8799.5</v>
      </c>
      <c r="E20" s="16">
        <v>5020.5</v>
      </c>
      <c r="F20" s="30">
        <f t="shared" si="3"/>
        <v>0.26260869565217393</v>
      </c>
      <c r="G20" s="30">
        <f t="shared" si="4"/>
        <v>0.7527138731202071</v>
      </c>
    </row>
    <row r="21" spans="1:8">
      <c r="A21" s="57"/>
      <c r="B21" s="57"/>
      <c r="C21" s="57"/>
      <c r="D21" s="57"/>
      <c r="E21" s="57"/>
      <c r="F21" s="58"/>
      <c r="G21" s="58"/>
    </row>
    <row r="22" spans="1:8">
      <c r="A22" s="59"/>
      <c r="B22" s="60"/>
      <c r="C22" s="60"/>
      <c r="D22" s="60"/>
      <c r="E22" s="60"/>
      <c r="F22" s="60"/>
      <c r="G22" s="60"/>
    </row>
    <row r="23" spans="1:8">
      <c r="A23" s="61"/>
      <c r="B23" s="3"/>
      <c r="C23" s="3"/>
      <c r="D23" s="3"/>
      <c r="E23" s="3"/>
      <c r="F23" s="3"/>
      <c r="G23" s="3"/>
    </row>
    <row r="24" spans="1:8">
      <c r="A24" s="61"/>
      <c r="B24" s="61"/>
      <c r="C24" s="61"/>
      <c r="D24" s="61"/>
      <c r="E24" s="61"/>
      <c r="F24" s="61"/>
      <c r="G24" s="61"/>
      <c r="H24" s="26"/>
    </row>
    <row r="25" spans="1:8">
      <c r="A25" s="57"/>
      <c r="B25" s="3"/>
      <c r="C25" s="3"/>
      <c r="D25" s="3"/>
      <c r="E25" s="3"/>
      <c r="F25" s="62"/>
      <c r="G25" s="62"/>
    </row>
    <row r="26" spans="1:8">
      <c r="A26" s="57"/>
      <c r="B26" s="3"/>
      <c r="C26" s="3"/>
      <c r="D26" s="3"/>
      <c r="E26" s="3"/>
      <c r="F26" s="62"/>
      <c r="G26" s="62"/>
    </row>
    <row r="27" spans="1:8">
      <c r="A27" s="57"/>
      <c r="B27" s="3"/>
      <c r="C27" s="3"/>
      <c r="D27" s="3"/>
      <c r="E27" s="3"/>
      <c r="F27" s="62"/>
      <c r="G27" s="62"/>
    </row>
    <row r="28" spans="1:8">
      <c r="A28" s="57"/>
      <c r="B28" s="3"/>
      <c r="C28" s="3"/>
      <c r="D28" s="3"/>
      <c r="E28" s="3"/>
      <c r="F28" s="62"/>
      <c r="G28" s="62"/>
    </row>
    <row r="29" spans="1:8">
      <c r="A29" s="57"/>
      <c r="B29" s="3"/>
      <c r="C29" s="3"/>
      <c r="D29" s="3"/>
      <c r="E29" s="3"/>
      <c r="F29" s="62"/>
      <c r="G29" s="62"/>
    </row>
    <row r="30" spans="1:8">
      <c r="A30" s="57"/>
      <c r="B30" s="3"/>
      <c r="C30" s="3"/>
      <c r="D30" s="3"/>
      <c r="E30" s="3"/>
      <c r="F30" s="62"/>
      <c r="G30" s="62"/>
    </row>
    <row r="31" spans="1:8">
      <c r="A31" s="57"/>
      <c r="B31" s="3"/>
      <c r="C31" s="3"/>
      <c r="D31" s="3"/>
      <c r="E31" s="3"/>
      <c r="F31" s="62"/>
      <c r="G31" s="62"/>
    </row>
    <row r="32" spans="1:8">
      <c r="A32" s="57"/>
      <c r="B32" s="3"/>
      <c r="C32" s="3"/>
      <c r="D32" s="3"/>
      <c r="E32" s="3"/>
      <c r="F32" s="62"/>
      <c r="G32" s="62"/>
    </row>
    <row r="33" spans="1:7">
      <c r="A33" s="57"/>
      <c r="B33" s="3"/>
      <c r="C33" s="3"/>
      <c r="D33" s="3"/>
      <c r="E33" s="3"/>
      <c r="F33" s="62"/>
      <c r="G33" s="62"/>
    </row>
    <row r="34" spans="1:7">
      <c r="A34" s="57"/>
      <c r="B34" s="3"/>
      <c r="C34" s="3"/>
      <c r="D34" s="3"/>
      <c r="E34" s="3"/>
      <c r="F34" s="62"/>
      <c r="G34" s="62"/>
    </row>
    <row r="35" spans="1:7">
      <c r="A35" s="57"/>
      <c r="B35" s="3"/>
      <c r="C35" s="3"/>
      <c r="D35" s="3"/>
      <c r="E35" s="3"/>
      <c r="F35" s="62"/>
      <c r="G35" s="62"/>
    </row>
    <row r="36" spans="1:7">
      <c r="A36" s="57"/>
      <c r="B36" s="3"/>
      <c r="C36" s="3"/>
      <c r="D36" s="3"/>
      <c r="E36" s="3"/>
      <c r="F36" s="62"/>
      <c r="G36" s="62"/>
    </row>
    <row r="37" spans="1:7">
      <c r="A37" s="57"/>
      <c r="B37" s="3"/>
      <c r="C37" s="3"/>
      <c r="D37" s="3"/>
      <c r="E37" s="3"/>
      <c r="F37" s="62"/>
      <c r="G37" s="62"/>
    </row>
    <row r="38" spans="1:7">
      <c r="A38" s="57"/>
      <c r="B38" s="3"/>
      <c r="C38" s="3"/>
      <c r="D38" s="3"/>
      <c r="E38" s="3"/>
      <c r="F38" s="62"/>
      <c r="G38" s="62"/>
    </row>
    <row r="39" spans="1:7">
      <c r="A39" s="57"/>
      <c r="B39" s="63"/>
      <c r="C39" s="3"/>
      <c r="D39" s="3"/>
      <c r="E39" s="3"/>
      <c r="F39" s="62"/>
      <c r="G39" s="62"/>
    </row>
    <row r="40" spans="1:7">
      <c r="A40" s="61"/>
      <c r="B40" s="3"/>
      <c r="C40" s="3"/>
      <c r="D40" s="3"/>
      <c r="E40" s="3"/>
      <c r="F40" s="62"/>
      <c r="G40" s="62"/>
    </row>
    <row r="41" spans="1:7">
      <c r="A41" s="61"/>
      <c r="B41" s="63"/>
      <c r="C41" s="3"/>
      <c r="D41" s="3"/>
      <c r="E41" s="3"/>
      <c r="F41" s="62"/>
      <c r="G41" s="62"/>
    </row>
    <row r="42" spans="1:7">
      <c r="A42" s="59"/>
      <c r="B42" s="60"/>
      <c r="C42" s="60"/>
      <c r="D42" s="60"/>
      <c r="E42" s="60"/>
      <c r="F42" s="60"/>
      <c r="G42" s="60"/>
    </row>
    <row r="43" spans="1:7">
      <c r="A43" s="26"/>
    </row>
    <row r="44" spans="1:7">
      <c r="A44" s="26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A15" sqref="A15:G20"/>
    </sheetView>
  </sheetViews>
  <sheetFormatPr defaultRowHeight="12.75"/>
  <cols>
    <col min="1" max="1" width="24.28515625" style="19" bestFit="1" customWidth="1"/>
    <col min="2" max="2" width="10.85546875" style="19" bestFit="1" customWidth="1"/>
    <col min="3" max="3" width="20.140625" style="19" bestFit="1" customWidth="1"/>
    <col min="4" max="4" width="6" style="19" bestFit="1" customWidth="1"/>
    <col min="5" max="5" width="8.85546875" style="19" bestFit="1" customWidth="1"/>
    <col min="6" max="6" width="17.28515625" style="19" bestFit="1" customWidth="1"/>
    <col min="7" max="7" width="12.140625" style="19" bestFit="1" customWidth="1"/>
    <col min="8" max="16384" width="9.140625" style="19"/>
  </cols>
  <sheetData>
    <row r="1" spans="1:7">
      <c r="A1" s="2" t="s">
        <v>146</v>
      </c>
      <c r="B1" s="1" t="s">
        <v>0</v>
      </c>
      <c r="C1" s="1" t="s">
        <v>30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5" t="s">
        <v>185</v>
      </c>
      <c r="B2" s="8">
        <v>0</v>
      </c>
      <c r="C2" s="8"/>
      <c r="D2" s="8"/>
      <c r="E2" s="8"/>
      <c r="F2" s="8"/>
      <c r="G2" s="8"/>
    </row>
    <row r="3" spans="1:7">
      <c r="A3" s="15" t="s">
        <v>186</v>
      </c>
      <c r="B3" s="8">
        <v>0</v>
      </c>
      <c r="C3" s="8"/>
      <c r="D3" s="8"/>
      <c r="E3" s="8"/>
      <c r="F3" s="8"/>
      <c r="G3" s="8"/>
    </row>
    <row r="4" spans="1:7">
      <c r="A4" s="15" t="s">
        <v>187</v>
      </c>
      <c r="B4" s="8">
        <v>0</v>
      </c>
      <c r="C4" s="8"/>
      <c r="D4" s="8"/>
      <c r="E4" s="8"/>
      <c r="F4" s="8"/>
      <c r="G4" s="8"/>
    </row>
    <row r="5" spans="1:7">
      <c r="A5" s="15"/>
      <c r="B5" s="8"/>
      <c r="C5" s="8"/>
      <c r="D5" s="8"/>
      <c r="E5" s="8"/>
      <c r="F5" s="8"/>
      <c r="G5" s="8"/>
    </row>
    <row r="6" spans="1:7">
      <c r="A6" s="2" t="s">
        <v>102</v>
      </c>
      <c r="B6" s="25">
        <f>SUM(B2:B5)</f>
        <v>0</v>
      </c>
      <c r="C6" s="25">
        <f t="shared" ref="C6:E6" si="0">SUM(C2:C5)</f>
        <v>0</v>
      </c>
      <c r="D6" s="25">
        <f t="shared" si="0"/>
        <v>0</v>
      </c>
      <c r="E6" s="25">
        <f t="shared" si="0"/>
        <v>0</v>
      </c>
      <c r="F6" s="25"/>
      <c r="G6" s="25"/>
    </row>
    <row r="7" spans="1:7">
      <c r="A7" s="25"/>
      <c r="B7" s="8"/>
      <c r="C7" s="8"/>
      <c r="D7" s="8"/>
      <c r="E7" s="8"/>
      <c r="F7" s="8"/>
      <c r="G7" s="8"/>
    </row>
    <row r="8" spans="1:7">
      <c r="A8" s="1" t="s">
        <v>168</v>
      </c>
      <c r="B8" s="1" t="s">
        <v>0</v>
      </c>
      <c r="C8" s="1" t="s">
        <v>30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>
      <c r="A9" s="21" t="s">
        <v>188</v>
      </c>
      <c r="B9" s="8">
        <v>55</v>
      </c>
      <c r="C9" s="8">
        <v>45</v>
      </c>
      <c r="D9" s="8">
        <v>764</v>
      </c>
      <c r="E9" s="8">
        <v>814</v>
      </c>
      <c r="F9" s="40">
        <f>(B9-C9)/C9</f>
        <v>0.22222222222222221</v>
      </c>
      <c r="G9" s="40">
        <f>(D9-E9)/E9</f>
        <v>-6.1425061425061427E-2</v>
      </c>
    </row>
    <row r="10" spans="1:7">
      <c r="A10" s="25"/>
      <c r="B10" s="8"/>
      <c r="C10" s="8"/>
      <c r="D10" s="8"/>
      <c r="E10" s="8"/>
      <c r="F10" s="40"/>
      <c r="G10" s="40"/>
    </row>
    <row r="11" spans="1:7">
      <c r="A11" s="1" t="s">
        <v>169</v>
      </c>
      <c r="B11" s="1" t="s">
        <v>0</v>
      </c>
      <c r="C11" s="1" t="s">
        <v>30</v>
      </c>
      <c r="D11" s="1" t="s">
        <v>2</v>
      </c>
      <c r="E11" s="1" t="s">
        <v>3</v>
      </c>
      <c r="F11" s="1" t="s">
        <v>4</v>
      </c>
      <c r="G11" s="1" t="s">
        <v>5</v>
      </c>
    </row>
    <row r="12" spans="1:7">
      <c r="A12" s="21" t="s">
        <v>28</v>
      </c>
      <c r="B12" s="8">
        <v>0</v>
      </c>
      <c r="C12" s="8"/>
      <c r="D12" s="8"/>
      <c r="E12" s="8"/>
      <c r="F12" s="8"/>
      <c r="G12" s="8"/>
    </row>
    <row r="13" spans="1:7">
      <c r="A13" s="21" t="s">
        <v>189</v>
      </c>
      <c r="B13" s="8">
        <v>0</v>
      </c>
      <c r="C13" s="8"/>
      <c r="D13" s="8"/>
      <c r="E13" s="8"/>
      <c r="F13" s="8"/>
      <c r="G13" s="8"/>
    </row>
    <row r="14" spans="1:7">
      <c r="A14" s="25"/>
      <c r="B14" s="8"/>
      <c r="C14" s="8"/>
      <c r="D14" s="8"/>
      <c r="E14" s="8"/>
      <c r="F14" s="8"/>
      <c r="G14" s="8"/>
    </row>
    <row r="15" spans="1:7">
      <c r="A15" s="1" t="s">
        <v>190</v>
      </c>
      <c r="B15" s="1" t="s">
        <v>0</v>
      </c>
      <c r="C15" s="1" t="s">
        <v>30</v>
      </c>
      <c r="D15" s="1" t="s">
        <v>2</v>
      </c>
      <c r="E15" s="1" t="s">
        <v>3</v>
      </c>
      <c r="F15" s="1" t="s">
        <v>4</v>
      </c>
      <c r="G15" s="1" t="s">
        <v>5</v>
      </c>
    </row>
    <row r="16" spans="1:7">
      <c r="A16" s="21" t="s">
        <v>191</v>
      </c>
      <c r="B16" s="8">
        <v>740</v>
      </c>
      <c r="C16" s="8">
        <v>760</v>
      </c>
      <c r="D16" s="8">
        <v>11413</v>
      </c>
      <c r="E16" s="8">
        <v>15455</v>
      </c>
      <c r="F16" s="40">
        <f>(B16-C16)/C16</f>
        <v>-2.6315789473684209E-2</v>
      </c>
      <c r="G16" s="40">
        <f>(D16-E16)/E16</f>
        <v>-0.26153348430928502</v>
      </c>
    </row>
    <row r="17" spans="1:7">
      <c r="A17" s="21" t="s">
        <v>192</v>
      </c>
      <c r="B17" s="8">
        <v>485</v>
      </c>
      <c r="C17" s="8">
        <v>1200</v>
      </c>
      <c r="D17" s="8">
        <v>2670</v>
      </c>
      <c r="E17" s="8">
        <v>8615</v>
      </c>
      <c r="F17" s="40">
        <f t="shared" ref="F17:F20" si="1">(B17-C17)/C17</f>
        <v>-0.59583333333333333</v>
      </c>
      <c r="G17" s="40">
        <f t="shared" ref="G17:G18" si="2">(D17-E17)/E17</f>
        <v>-0.69007544979686597</v>
      </c>
    </row>
    <row r="18" spans="1:7">
      <c r="A18" s="21" t="s">
        <v>193</v>
      </c>
      <c r="B18" s="8">
        <v>0</v>
      </c>
      <c r="C18" s="8">
        <v>300</v>
      </c>
      <c r="D18" s="8">
        <v>0</v>
      </c>
      <c r="E18" s="8">
        <v>300</v>
      </c>
      <c r="F18" s="40">
        <f t="shared" si="1"/>
        <v>-1</v>
      </c>
      <c r="G18" s="40">
        <f t="shared" si="2"/>
        <v>-1</v>
      </c>
    </row>
    <row r="19" spans="1:7">
      <c r="A19" s="21" t="s">
        <v>194</v>
      </c>
      <c r="B19" s="8"/>
      <c r="C19" s="8"/>
      <c r="D19" s="8"/>
      <c r="E19" s="8"/>
      <c r="F19" s="40"/>
      <c r="G19" s="40"/>
    </row>
    <row r="20" spans="1:7">
      <c r="A20" s="21" t="s">
        <v>195</v>
      </c>
      <c r="B20" s="8">
        <v>4805</v>
      </c>
      <c r="C20" s="8">
        <v>3440</v>
      </c>
      <c r="D20" s="8">
        <v>37370</v>
      </c>
      <c r="E20" s="8">
        <v>46570</v>
      </c>
      <c r="F20" s="40">
        <f t="shared" si="1"/>
        <v>0.39680232558139533</v>
      </c>
      <c r="G20" s="40">
        <f>(D20-E20)/E20</f>
        <v>-0.19755207214945245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G31"/>
    </sheetView>
  </sheetViews>
  <sheetFormatPr defaultRowHeight="12.75"/>
  <cols>
    <col min="1" max="1" width="30.5703125" style="19" customWidth="1"/>
    <col min="2" max="2" width="12.85546875" style="19" customWidth="1"/>
    <col min="3" max="3" width="19.5703125" style="19" customWidth="1"/>
    <col min="4" max="5" width="9.140625" style="19"/>
    <col min="6" max="6" width="14.5703125" style="19" customWidth="1"/>
    <col min="7" max="7" width="12.140625" style="19" customWidth="1"/>
    <col min="8" max="16384" width="9.140625" style="19"/>
  </cols>
  <sheetData>
    <row r="1" spans="1:7">
      <c r="A1" s="2" t="s">
        <v>226</v>
      </c>
      <c r="B1" s="1" t="s">
        <v>0</v>
      </c>
      <c r="C1" s="1" t="s">
        <v>30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5" t="s">
        <v>151</v>
      </c>
      <c r="B2" s="21">
        <v>23</v>
      </c>
      <c r="C2" s="8"/>
      <c r="D2" s="8">
        <v>131</v>
      </c>
      <c r="E2" s="8"/>
      <c r="F2" s="8" t="s">
        <v>184</v>
      </c>
      <c r="G2" s="8" t="s">
        <v>184</v>
      </c>
    </row>
    <row r="3" spans="1:7">
      <c r="A3" s="15" t="s">
        <v>152</v>
      </c>
      <c r="B3" s="21">
        <v>15</v>
      </c>
      <c r="C3" s="8"/>
      <c r="D3" s="8">
        <v>148</v>
      </c>
      <c r="E3" s="8"/>
      <c r="F3" s="8" t="s">
        <v>184</v>
      </c>
      <c r="G3" s="8" t="s">
        <v>184</v>
      </c>
    </row>
    <row r="4" spans="1:7">
      <c r="A4" s="15" t="s">
        <v>153</v>
      </c>
      <c r="B4" s="21">
        <v>44</v>
      </c>
      <c r="C4" s="8"/>
      <c r="D4" s="8">
        <v>346</v>
      </c>
      <c r="E4" s="8"/>
      <c r="F4" s="8" t="s">
        <v>184</v>
      </c>
      <c r="G4" s="8" t="s">
        <v>184</v>
      </c>
    </row>
    <row r="5" spans="1:7">
      <c r="A5" s="15" t="s">
        <v>154</v>
      </c>
      <c r="B5" s="21">
        <v>81</v>
      </c>
      <c r="C5" s="8"/>
      <c r="D5" s="8">
        <v>854</v>
      </c>
      <c r="E5" s="8"/>
      <c r="F5" s="8" t="s">
        <v>184</v>
      </c>
      <c r="G5" s="8" t="s">
        <v>184</v>
      </c>
    </row>
    <row r="6" spans="1:7">
      <c r="A6" s="15" t="s">
        <v>155</v>
      </c>
      <c r="B6" s="21">
        <v>273</v>
      </c>
      <c r="C6" s="8"/>
      <c r="D6" s="8">
        <v>2984</v>
      </c>
      <c r="E6" s="8"/>
      <c r="F6" s="8" t="s">
        <v>184</v>
      </c>
      <c r="G6" s="8" t="s">
        <v>184</v>
      </c>
    </row>
    <row r="7" spans="1:7">
      <c r="A7" s="15" t="s">
        <v>156</v>
      </c>
      <c r="B7" s="21">
        <v>1</v>
      </c>
      <c r="C7" s="8"/>
      <c r="D7" s="8">
        <v>75</v>
      </c>
      <c r="E7" s="8"/>
      <c r="F7" s="8" t="s">
        <v>184</v>
      </c>
      <c r="G7" s="8" t="s">
        <v>184</v>
      </c>
    </row>
    <row r="8" spans="1:7">
      <c r="A8" s="15" t="s">
        <v>157</v>
      </c>
      <c r="B8" s="21">
        <v>90</v>
      </c>
      <c r="C8" s="8"/>
      <c r="D8" s="8">
        <v>899</v>
      </c>
      <c r="E8" s="8"/>
      <c r="F8" s="8" t="s">
        <v>184</v>
      </c>
      <c r="G8" s="8" t="s">
        <v>184</v>
      </c>
    </row>
    <row r="9" spans="1:7">
      <c r="A9" s="15" t="s">
        <v>146</v>
      </c>
      <c r="B9" s="21">
        <v>628</v>
      </c>
      <c r="C9" s="8"/>
      <c r="D9" s="8">
        <v>7601</v>
      </c>
      <c r="E9" s="8"/>
      <c r="F9" s="8" t="s">
        <v>184</v>
      </c>
      <c r="G9" s="8" t="s">
        <v>184</v>
      </c>
    </row>
    <row r="10" spans="1:7">
      <c r="A10" s="15" t="s">
        <v>158</v>
      </c>
      <c r="B10" s="21">
        <v>889</v>
      </c>
      <c r="C10" s="8"/>
      <c r="D10" s="8">
        <v>10116</v>
      </c>
      <c r="E10" s="8"/>
      <c r="F10" s="8" t="s">
        <v>184</v>
      </c>
      <c r="G10" s="8" t="s">
        <v>184</v>
      </c>
    </row>
    <row r="11" spans="1:7">
      <c r="A11" s="15" t="s">
        <v>159</v>
      </c>
      <c r="B11" s="21">
        <v>123</v>
      </c>
      <c r="C11" s="8"/>
      <c r="D11" s="8">
        <v>1503</v>
      </c>
      <c r="E11" s="8"/>
      <c r="F11" s="8" t="s">
        <v>184</v>
      </c>
      <c r="G11" s="8" t="s">
        <v>184</v>
      </c>
    </row>
    <row r="12" spans="1:7">
      <c r="A12" s="15" t="s">
        <v>160</v>
      </c>
      <c r="B12" s="21">
        <v>5</v>
      </c>
      <c r="C12" s="8"/>
      <c r="D12" s="8">
        <v>165</v>
      </c>
      <c r="E12" s="8"/>
      <c r="F12" s="8" t="s">
        <v>184</v>
      </c>
      <c r="G12" s="8" t="s">
        <v>184</v>
      </c>
    </row>
    <row r="13" spans="1:7">
      <c r="A13" s="15" t="s">
        <v>161</v>
      </c>
      <c r="B13" s="21">
        <v>19</v>
      </c>
      <c r="C13" s="8"/>
      <c r="D13" s="8">
        <v>313</v>
      </c>
      <c r="E13" s="8"/>
      <c r="F13" s="8" t="s">
        <v>184</v>
      </c>
      <c r="G13" s="8" t="s">
        <v>184</v>
      </c>
    </row>
    <row r="14" spans="1:7">
      <c r="A14" s="15" t="s">
        <v>162</v>
      </c>
      <c r="B14" s="21">
        <v>2</v>
      </c>
      <c r="C14" s="8"/>
      <c r="D14" s="8">
        <v>99</v>
      </c>
      <c r="E14" s="8"/>
      <c r="F14" s="8" t="s">
        <v>184</v>
      </c>
      <c r="G14" s="8" t="s">
        <v>184</v>
      </c>
    </row>
    <row r="15" spans="1:7">
      <c r="A15" s="15" t="s">
        <v>163</v>
      </c>
      <c r="B15" s="21">
        <v>34</v>
      </c>
      <c r="C15" s="8"/>
      <c r="D15" s="8">
        <v>271</v>
      </c>
      <c r="E15" s="8"/>
      <c r="F15" s="8" t="s">
        <v>184</v>
      </c>
      <c r="G15" s="8" t="s">
        <v>184</v>
      </c>
    </row>
    <row r="16" spans="1:7">
      <c r="A16" s="15" t="s">
        <v>164</v>
      </c>
      <c r="B16" s="21">
        <v>83</v>
      </c>
      <c r="C16" s="8"/>
      <c r="D16" s="8">
        <v>915</v>
      </c>
      <c r="E16" s="8"/>
      <c r="F16" s="8" t="s">
        <v>184</v>
      </c>
      <c r="G16" s="8" t="s">
        <v>184</v>
      </c>
    </row>
    <row r="17" spans="1:7">
      <c r="A17" s="15" t="s">
        <v>165</v>
      </c>
      <c r="B17" s="21">
        <v>6</v>
      </c>
      <c r="C17" s="8"/>
      <c r="D17" s="8">
        <v>74</v>
      </c>
      <c r="E17" s="8"/>
      <c r="F17" s="8" t="s">
        <v>184</v>
      </c>
      <c r="G17" s="8" t="s">
        <v>184</v>
      </c>
    </row>
    <row r="18" spans="1:7">
      <c r="A18" s="15" t="s">
        <v>166</v>
      </c>
      <c r="B18" s="21">
        <v>2</v>
      </c>
      <c r="C18" s="8"/>
      <c r="D18" s="8">
        <v>14</v>
      </c>
      <c r="E18" s="8"/>
      <c r="F18" s="8" t="s">
        <v>184</v>
      </c>
      <c r="G18" s="8" t="s">
        <v>184</v>
      </c>
    </row>
    <row r="19" spans="1:7">
      <c r="A19" s="15" t="s">
        <v>167</v>
      </c>
      <c r="B19" s="21">
        <v>343</v>
      </c>
      <c r="C19" s="8"/>
      <c r="D19" s="8">
        <v>2837</v>
      </c>
      <c r="E19" s="8"/>
      <c r="F19" s="8" t="s">
        <v>184</v>
      </c>
      <c r="G19" s="8" t="s">
        <v>184</v>
      </c>
    </row>
    <row r="20" spans="1:7">
      <c r="A20" s="15" t="s">
        <v>168</v>
      </c>
      <c r="B20" s="21">
        <v>7</v>
      </c>
      <c r="C20" s="8"/>
      <c r="D20" s="8">
        <v>346</v>
      </c>
      <c r="E20" s="8"/>
      <c r="F20" s="8" t="s">
        <v>184</v>
      </c>
      <c r="G20" s="8" t="s">
        <v>184</v>
      </c>
    </row>
    <row r="21" spans="1:7">
      <c r="A21" s="15" t="s">
        <v>169</v>
      </c>
      <c r="B21" s="21">
        <v>29</v>
      </c>
      <c r="C21" s="8"/>
      <c r="D21" s="8">
        <v>335</v>
      </c>
      <c r="E21" s="8"/>
      <c r="F21" s="8" t="s">
        <v>184</v>
      </c>
      <c r="G21" s="8" t="s">
        <v>184</v>
      </c>
    </row>
    <row r="22" spans="1:7">
      <c r="A22" s="15" t="s">
        <v>170</v>
      </c>
      <c r="B22" s="16">
        <v>0</v>
      </c>
      <c r="C22" s="8"/>
      <c r="D22" s="8">
        <v>10</v>
      </c>
      <c r="E22" s="8"/>
      <c r="F22" s="8" t="s">
        <v>184</v>
      </c>
      <c r="G22" s="8" t="s">
        <v>184</v>
      </c>
    </row>
    <row r="23" spans="1:7">
      <c r="A23" s="15" t="s">
        <v>171</v>
      </c>
      <c r="B23" s="21">
        <v>1</v>
      </c>
      <c r="C23" s="8"/>
      <c r="D23" s="8">
        <v>17</v>
      </c>
      <c r="E23" s="8"/>
      <c r="F23" s="8" t="s">
        <v>184</v>
      </c>
      <c r="G23" s="8" t="s">
        <v>184</v>
      </c>
    </row>
    <row r="24" spans="1:7">
      <c r="A24" s="15" t="s">
        <v>172</v>
      </c>
      <c r="B24" s="21">
        <v>0</v>
      </c>
      <c r="C24" s="8"/>
      <c r="D24" s="8">
        <v>0</v>
      </c>
      <c r="E24" s="8"/>
      <c r="F24" s="8" t="s">
        <v>184</v>
      </c>
      <c r="G24" s="8" t="s">
        <v>184</v>
      </c>
    </row>
    <row r="25" spans="1:7">
      <c r="A25" s="15" t="s">
        <v>173</v>
      </c>
      <c r="B25" s="21">
        <v>65</v>
      </c>
      <c r="C25" s="8"/>
      <c r="D25" s="8">
        <v>840</v>
      </c>
      <c r="E25" s="8"/>
      <c r="F25" s="8" t="s">
        <v>184</v>
      </c>
      <c r="G25" s="8" t="s">
        <v>184</v>
      </c>
    </row>
    <row r="26" spans="1:7">
      <c r="A26" s="15" t="s">
        <v>175</v>
      </c>
      <c r="B26" s="21">
        <v>0</v>
      </c>
      <c r="C26" s="8"/>
      <c r="D26" s="8">
        <v>74</v>
      </c>
      <c r="E26" s="8"/>
      <c r="F26" s="8" t="s">
        <v>184</v>
      </c>
      <c r="G26" s="8" t="s">
        <v>184</v>
      </c>
    </row>
    <row r="27" spans="1:7">
      <c r="A27" s="15" t="s">
        <v>180</v>
      </c>
      <c r="B27" s="21">
        <v>4800</v>
      </c>
      <c r="C27" s="8"/>
      <c r="D27" s="8">
        <v>44440</v>
      </c>
      <c r="E27" s="8"/>
      <c r="F27" s="8" t="s">
        <v>184</v>
      </c>
      <c r="G27" s="8" t="s">
        <v>184</v>
      </c>
    </row>
    <row r="28" spans="1:7">
      <c r="A28" s="15" t="s">
        <v>174</v>
      </c>
      <c r="B28" s="21">
        <v>19</v>
      </c>
      <c r="C28" s="8"/>
      <c r="D28" s="8">
        <v>290</v>
      </c>
      <c r="E28" s="8"/>
      <c r="F28" s="8" t="s">
        <v>184</v>
      </c>
      <c r="G28" s="8" t="s">
        <v>184</v>
      </c>
    </row>
    <row r="29" spans="1:7">
      <c r="A29" s="15" t="s">
        <v>178</v>
      </c>
      <c r="B29" s="21">
        <v>8</v>
      </c>
      <c r="C29" s="8"/>
      <c r="D29" s="8">
        <v>111</v>
      </c>
      <c r="E29" s="8"/>
      <c r="F29" s="8" t="s">
        <v>184</v>
      </c>
      <c r="G29" s="8" t="s">
        <v>184</v>
      </c>
    </row>
    <row r="30" spans="1:7">
      <c r="A30" s="15" t="s">
        <v>179</v>
      </c>
      <c r="B30" s="21">
        <v>23</v>
      </c>
      <c r="C30" s="8"/>
      <c r="D30" s="8">
        <v>276</v>
      </c>
      <c r="E30" s="8"/>
      <c r="F30" s="8" t="s">
        <v>184</v>
      </c>
      <c r="G30" s="8" t="s">
        <v>184</v>
      </c>
    </row>
    <row r="31" spans="1:7">
      <c r="A31" s="15" t="s">
        <v>176</v>
      </c>
      <c r="B31" s="22">
        <v>6450</v>
      </c>
      <c r="C31" s="8"/>
      <c r="D31" s="23">
        <v>103560</v>
      </c>
      <c r="E31" s="8"/>
      <c r="F31" s="8" t="s">
        <v>184</v>
      </c>
      <c r="G31" s="8" t="s">
        <v>184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A16" sqref="A16:G29"/>
    </sheetView>
  </sheetViews>
  <sheetFormatPr defaultRowHeight="12.75"/>
  <cols>
    <col min="1" max="1" width="47.140625" style="26" bestFit="1" customWidth="1"/>
    <col min="2" max="2" width="10.85546875" style="19" bestFit="1" customWidth="1"/>
    <col min="3" max="3" width="20.140625" style="19" bestFit="1" customWidth="1"/>
    <col min="4" max="4" width="12.42578125" style="19" customWidth="1"/>
    <col min="5" max="5" width="13" style="19" customWidth="1"/>
    <col min="6" max="6" width="17.28515625" style="19" bestFit="1" customWidth="1"/>
    <col min="7" max="7" width="12.140625" style="19" bestFit="1" customWidth="1"/>
    <col min="8" max="16384" width="9.140625" style="19"/>
  </cols>
  <sheetData>
    <row r="1" spans="1:7" s="26" customFormat="1">
      <c r="A1" s="1" t="s">
        <v>234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4" t="s">
        <v>96</v>
      </c>
      <c r="B2" s="4">
        <v>0</v>
      </c>
      <c r="C2" s="5">
        <v>617.42999999999995</v>
      </c>
      <c r="D2" s="4">
        <v>1155.9000000000001</v>
      </c>
      <c r="E2" s="5">
        <v>3596.25</v>
      </c>
      <c r="F2" s="6">
        <f>(B2-C2)/C2</f>
        <v>-1</v>
      </c>
      <c r="G2" s="6">
        <f>(D2-E2)/E2</f>
        <v>-0.67858185610010424</v>
      </c>
    </row>
    <row r="3" spans="1:7">
      <c r="A3" s="14">
        <v>2000</v>
      </c>
      <c r="B3" s="7">
        <v>0</v>
      </c>
      <c r="C3" s="5">
        <v>0</v>
      </c>
      <c r="D3" s="7">
        <v>2324.2800000000002</v>
      </c>
      <c r="E3" s="5">
        <v>2798.58</v>
      </c>
      <c r="F3" s="6" t="e">
        <f t="shared" ref="F3:F12" si="0">(B3-C3)/C3</f>
        <v>#DIV/0!</v>
      </c>
      <c r="G3" s="6">
        <f t="shared" ref="G3:G11" si="1">(D3-E3)/E3</f>
        <v>-0.16947880710931965</v>
      </c>
    </row>
    <row r="4" spans="1:7">
      <c r="A4" s="14">
        <v>2001</v>
      </c>
      <c r="B4" s="7">
        <v>0</v>
      </c>
      <c r="C4" s="5">
        <v>0</v>
      </c>
      <c r="D4" s="7">
        <v>427.8</v>
      </c>
      <c r="E4" s="5">
        <v>534.84</v>
      </c>
      <c r="F4" s="6" t="e">
        <f t="shared" si="0"/>
        <v>#DIV/0!</v>
      </c>
      <c r="G4" s="6">
        <f t="shared" si="1"/>
        <v>-0.20013461969934937</v>
      </c>
    </row>
    <row r="5" spans="1:7">
      <c r="A5" s="14">
        <v>2002</v>
      </c>
      <c r="B5" s="7">
        <v>0</v>
      </c>
      <c r="C5" s="5">
        <v>0</v>
      </c>
      <c r="D5" s="7">
        <v>0</v>
      </c>
      <c r="E5" s="5">
        <v>55.98</v>
      </c>
      <c r="F5" s="6" t="e">
        <f t="shared" si="0"/>
        <v>#DIV/0!</v>
      </c>
      <c r="G5" s="6">
        <f t="shared" si="1"/>
        <v>-1</v>
      </c>
    </row>
    <row r="6" spans="1:7">
      <c r="A6" s="14">
        <v>2003</v>
      </c>
      <c r="B6" s="4">
        <v>0</v>
      </c>
      <c r="C6" s="5">
        <v>0</v>
      </c>
      <c r="D6" s="4">
        <v>535.11</v>
      </c>
      <c r="E6" s="5">
        <v>185.76</v>
      </c>
      <c r="F6" s="6" t="e">
        <f t="shared" si="0"/>
        <v>#DIV/0!</v>
      </c>
      <c r="G6" s="6">
        <f t="shared" si="1"/>
        <v>1.880652454780362</v>
      </c>
    </row>
    <row r="7" spans="1:7">
      <c r="A7" s="14">
        <v>2004</v>
      </c>
      <c r="B7" s="4">
        <v>488.94</v>
      </c>
      <c r="C7" s="5">
        <v>38.520000000000003</v>
      </c>
      <c r="D7" s="4">
        <v>6510.33</v>
      </c>
      <c r="E7" s="5">
        <v>6935.2</v>
      </c>
      <c r="F7" s="6">
        <f t="shared" si="0"/>
        <v>11.693146417445483</v>
      </c>
      <c r="G7" s="6">
        <f t="shared" si="1"/>
        <v>-6.1262833083400609E-2</v>
      </c>
    </row>
    <row r="8" spans="1:7">
      <c r="A8" s="14">
        <v>2005</v>
      </c>
      <c r="B8" s="4">
        <v>2795.73</v>
      </c>
      <c r="C8" s="5">
        <v>3499.05</v>
      </c>
      <c r="D8" s="4">
        <v>10099.66</v>
      </c>
      <c r="E8" s="5">
        <v>10040.290000000001</v>
      </c>
      <c r="F8" s="6">
        <f t="shared" si="0"/>
        <v>-0.20100312942084284</v>
      </c>
      <c r="G8" s="6">
        <f t="shared" si="1"/>
        <v>5.9131758146427019E-3</v>
      </c>
    </row>
    <row r="9" spans="1:7">
      <c r="A9" s="14">
        <v>2006</v>
      </c>
      <c r="B9" s="4">
        <v>2468.54</v>
      </c>
      <c r="C9" s="5">
        <v>347.21</v>
      </c>
      <c r="D9" s="4">
        <v>17204.25</v>
      </c>
      <c r="E9" s="5">
        <v>23352.32</v>
      </c>
      <c r="F9" s="6">
        <f t="shared" si="0"/>
        <v>6.1096454595201752</v>
      </c>
      <c r="G9" s="6">
        <f t="shared" si="1"/>
        <v>-0.26327448407695681</v>
      </c>
    </row>
    <row r="10" spans="1:7">
      <c r="A10" s="14">
        <v>2007</v>
      </c>
      <c r="B10" s="4">
        <v>276.26</v>
      </c>
      <c r="C10" s="5">
        <v>619.05999999999995</v>
      </c>
      <c r="D10" s="4">
        <v>4492.42</v>
      </c>
      <c r="E10" s="5">
        <v>3108.69</v>
      </c>
      <c r="F10" s="6">
        <f t="shared" si="0"/>
        <v>-0.5537427712984202</v>
      </c>
      <c r="G10" s="6">
        <f t="shared" si="1"/>
        <v>0.44511675335913198</v>
      </c>
    </row>
    <row r="11" spans="1:7">
      <c r="A11" s="14">
        <v>2008</v>
      </c>
      <c r="B11" s="4">
        <v>81.430000000000007</v>
      </c>
      <c r="C11" s="5">
        <v>0</v>
      </c>
      <c r="D11" s="4">
        <v>3971.56</v>
      </c>
      <c r="E11" s="5">
        <v>21.6</v>
      </c>
      <c r="F11" s="6" t="e">
        <f t="shared" si="0"/>
        <v>#DIV/0!</v>
      </c>
      <c r="G11" s="6">
        <f t="shared" si="1"/>
        <v>182.8685185185185</v>
      </c>
    </row>
    <row r="12" spans="1:7">
      <c r="A12" s="14">
        <v>2009</v>
      </c>
      <c r="B12" s="4">
        <v>0</v>
      </c>
      <c r="C12" s="5"/>
      <c r="D12" s="4">
        <v>6175.71</v>
      </c>
      <c r="E12" s="5"/>
      <c r="F12" s="6" t="e">
        <f t="shared" si="0"/>
        <v>#DIV/0!</v>
      </c>
      <c r="G12" s="6" t="e">
        <f>(D12-E12)/E12</f>
        <v>#DIV/0!</v>
      </c>
    </row>
    <row r="13" spans="1:7">
      <c r="A13" s="15"/>
      <c r="B13" s="7"/>
      <c r="C13" s="5"/>
      <c r="D13" s="7"/>
      <c r="E13" s="5"/>
      <c r="F13" s="6"/>
      <c r="G13" s="6"/>
    </row>
    <row r="14" spans="1:7" s="26" customFormat="1">
      <c r="A14" s="2" t="s">
        <v>102</v>
      </c>
      <c r="B14" s="27">
        <f>SUM(B2:B13)</f>
        <v>6110.9000000000005</v>
      </c>
      <c r="C14" s="28">
        <f>SUM(C2:C13)</f>
        <v>5121.2700000000004</v>
      </c>
      <c r="D14" s="27">
        <v>40333.61</v>
      </c>
      <c r="E14" s="28">
        <v>44567.82</v>
      </c>
      <c r="F14" s="17">
        <f t="shared" ref="F14" si="2">(B14-C14)/C14</f>
        <v>0.19323917700101734</v>
      </c>
      <c r="G14" s="17">
        <f t="shared" ref="G14" si="3">(D14-E14)/E14</f>
        <v>-9.5005993113416787E-2</v>
      </c>
    </row>
    <row r="15" spans="1:7">
      <c r="A15" s="25"/>
      <c r="B15" s="25"/>
      <c r="C15" s="8"/>
      <c r="D15" s="8"/>
      <c r="E15" s="8"/>
      <c r="F15" s="8"/>
      <c r="G15" s="8"/>
    </row>
    <row r="16" spans="1:7">
      <c r="A16" s="1" t="s">
        <v>235</v>
      </c>
      <c r="B16" s="29" t="s">
        <v>0</v>
      </c>
      <c r="C16" s="1" t="s">
        <v>30</v>
      </c>
      <c r="D16" s="1" t="s">
        <v>2</v>
      </c>
      <c r="E16" s="1" t="s">
        <v>3</v>
      </c>
      <c r="F16" s="2" t="s">
        <v>4</v>
      </c>
      <c r="G16" s="2" t="s">
        <v>5</v>
      </c>
    </row>
    <row r="17" spans="1:7">
      <c r="A17" s="14" t="s">
        <v>96</v>
      </c>
      <c r="B17" s="9">
        <v>0</v>
      </c>
      <c r="C17" s="7">
        <v>1125.26</v>
      </c>
      <c r="D17" s="10">
        <v>188.3</v>
      </c>
      <c r="E17" s="7">
        <v>2704.77</v>
      </c>
      <c r="F17" s="6">
        <f>(B17-C17)/C17</f>
        <v>-1</v>
      </c>
      <c r="G17" s="6">
        <f>(D17-E17)/E17</f>
        <v>-0.93038225061650337</v>
      </c>
    </row>
    <row r="18" spans="1:7">
      <c r="A18" s="14">
        <v>2000</v>
      </c>
      <c r="B18" s="7">
        <v>20</v>
      </c>
      <c r="C18" s="7">
        <v>20</v>
      </c>
      <c r="D18" s="7">
        <v>269.3</v>
      </c>
      <c r="E18" s="7">
        <v>639.78</v>
      </c>
      <c r="F18" s="6">
        <f t="shared" ref="F18:F26" si="4">(B18-C18)/C18</f>
        <v>0</v>
      </c>
      <c r="G18" s="6">
        <f t="shared" ref="G18:G26" si="5">(D18-E18)/E18</f>
        <v>-0.57907405670699297</v>
      </c>
    </row>
    <row r="19" spans="1:7">
      <c r="A19" s="14">
        <v>2001</v>
      </c>
      <c r="B19" s="7">
        <v>0</v>
      </c>
      <c r="C19" s="7">
        <v>20</v>
      </c>
      <c r="D19" s="7">
        <v>1221.96</v>
      </c>
      <c r="E19" s="7">
        <v>1520.25</v>
      </c>
      <c r="F19" s="6">
        <f t="shared" si="4"/>
        <v>-1</v>
      </c>
      <c r="G19" s="6">
        <f t="shared" si="5"/>
        <v>-0.19621114948199306</v>
      </c>
    </row>
    <row r="20" spans="1:7">
      <c r="A20" s="14">
        <v>2002</v>
      </c>
      <c r="B20" s="4">
        <v>0</v>
      </c>
      <c r="C20" s="11">
        <v>0</v>
      </c>
      <c r="D20" s="4">
        <v>0</v>
      </c>
      <c r="E20" s="11">
        <v>0</v>
      </c>
      <c r="F20" s="6" t="e">
        <f t="shared" si="4"/>
        <v>#DIV/0!</v>
      </c>
      <c r="G20" s="6" t="e">
        <f t="shared" si="5"/>
        <v>#DIV/0!</v>
      </c>
    </row>
    <row r="21" spans="1:7">
      <c r="A21" s="14">
        <v>2003</v>
      </c>
      <c r="B21" s="4">
        <v>0</v>
      </c>
      <c r="C21" s="7">
        <v>0</v>
      </c>
      <c r="D21" s="4">
        <v>973.5</v>
      </c>
      <c r="E21" s="7">
        <v>899.46</v>
      </c>
      <c r="F21" s="6" t="e">
        <f t="shared" si="4"/>
        <v>#DIV/0!</v>
      </c>
      <c r="G21" s="6">
        <f t="shared" si="5"/>
        <v>8.2316056300446888E-2</v>
      </c>
    </row>
    <row r="22" spans="1:7">
      <c r="A22" s="14">
        <v>2004</v>
      </c>
      <c r="B22" s="10">
        <v>662.43</v>
      </c>
      <c r="C22" s="7">
        <v>492.76</v>
      </c>
      <c r="D22" s="10">
        <v>4685.3500000000004</v>
      </c>
      <c r="E22" s="7">
        <v>5550.78</v>
      </c>
      <c r="F22" s="6">
        <f t="shared" si="4"/>
        <v>0.34432583813621226</v>
      </c>
      <c r="G22" s="6">
        <f t="shared" si="5"/>
        <v>-0.15591142145788509</v>
      </c>
    </row>
    <row r="23" spans="1:7">
      <c r="A23" s="14">
        <v>2005</v>
      </c>
      <c r="B23" s="10">
        <v>175</v>
      </c>
      <c r="C23" s="7">
        <v>126.5</v>
      </c>
      <c r="D23" s="10">
        <v>6807.59</v>
      </c>
      <c r="E23" s="7">
        <v>5352.17</v>
      </c>
      <c r="F23" s="6">
        <f t="shared" si="4"/>
        <v>0.38339920948616601</v>
      </c>
      <c r="G23" s="6">
        <f t="shared" si="5"/>
        <v>0.27193082431985532</v>
      </c>
    </row>
    <row r="24" spans="1:7">
      <c r="A24" s="14">
        <v>2006</v>
      </c>
      <c r="B24" s="7">
        <v>2741.68</v>
      </c>
      <c r="C24" s="7">
        <v>1562.66</v>
      </c>
      <c r="D24" s="7">
        <v>16696.330000000002</v>
      </c>
      <c r="E24" s="7">
        <v>20929.46</v>
      </c>
      <c r="F24" s="6">
        <f t="shared" si="4"/>
        <v>0.75449553965673899</v>
      </c>
      <c r="G24" s="6">
        <f t="shared" si="5"/>
        <v>-0.20225700997541254</v>
      </c>
    </row>
    <row r="25" spans="1:7">
      <c r="A25" s="14">
        <v>2007</v>
      </c>
      <c r="B25" s="7">
        <v>763.8</v>
      </c>
      <c r="C25" s="10">
        <v>700.27</v>
      </c>
      <c r="D25" s="7">
        <v>10897.21</v>
      </c>
      <c r="E25" s="10">
        <v>8540.69</v>
      </c>
      <c r="F25" s="6">
        <f t="shared" si="4"/>
        <v>9.0722150027846366E-2</v>
      </c>
      <c r="G25" s="6">
        <f t="shared" si="5"/>
        <v>0.27591681702532211</v>
      </c>
    </row>
    <row r="26" spans="1:7">
      <c r="A26" s="14">
        <v>2008</v>
      </c>
      <c r="B26" s="7">
        <v>240</v>
      </c>
      <c r="C26" s="12">
        <v>46.5</v>
      </c>
      <c r="D26" s="7">
        <v>2065.92</v>
      </c>
      <c r="E26" s="10">
        <v>1082.02</v>
      </c>
      <c r="F26" s="6">
        <f t="shared" si="4"/>
        <v>4.161290322580645</v>
      </c>
      <c r="G26" s="6">
        <f t="shared" si="5"/>
        <v>0.90931775752758737</v>
      </c>
    </row>
    <row r="27" spans="1:7">
      <c r="A27" s="14">
        <v>2009</v>
      </c>
      <c r="B27" s="7">
        <v>40</v>
      </c>
      <c r="C27" s="4"/>
      <c r="D27" s="7">
        <v>3784.27</v>
      </c>
      <c r="E27" s="78"/>
      <c r="F27" s="6" t="e">
        <f>(B27-C27)/C27</f>
        <v>#DIV/0!</v>
      </c>
      <c r="G27" s="6" t="e">
        <f>(D27-E27)/E27</f>
        <v>#DIV/0!</v>
      </c>
    </row>
    <row r="28" spans="1:7">
      <c r="A28" s="15"/>
      <c r="B28" s="13"/>
      <c r="C28" s="7"/>
      <c r="D28" s="13"/>
      <c r="E28" s="7"/>
      <c r="F28" s="6"/>
      <c r="G28" s="6"/>
    </row>
    <row r="29" spans="1:7">
      <c r="A29" s="1" t="s">
        <v>102</v>
      </c>
      <c r="B29" s="27">
        <f>SUM(B17:B28)</f>
        <v>4642.91</v>
      </c>
      <c r="C29" s="27">
        <f t="shared" ref="C29:E29" si="6">SUM(C17:C28)</f>
        <v>4093.9500000000003</v>
      </c>
      <c r="D29" s="27">
        <f t="shared" si="6"/>
        <v>47589.729999999996</v>
      </c>
      <c r="E29" s="27">
        <f t="shared" si="6"/>
        <v>47219.38</v>
      </c>
      <c r="F29" s="18">
        <f t="shared" ref="F29" si="7">(B29-C29)/C29</f>
        <v>0.13409054824802441</v>
      </c>
      <c r="G29" s="18">
        <f t="shared" ref="G29" si="8">(D29-E29)/E29</f>
        <v>7.8431779493927829E-3</v>
      </c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sqref="A1:G12"/>
    </sheetView>
  </sheetViews>
  <sheetFormatPr defaultRowHeight="12.75"/>
  <cols>
    <col min="1" max="1" width="32.140625" style="26" bestFit="1" customWidth="1"/>
    <col min="2" max="2" width="16.7109375" style="19" customWidth="1"/>
    <col min="3" max="3" width="20.140625" style="19" bestFit="1" customWidth="1"/>
    <col min="4" max="4" width="8.7109375" style="19" bestFit="1" customWidth="1"/>
    <col min="5" max="5" width="8.85546875" style="19" bestFit="1" customWidth="1"/>
    <col min="6" max="6" width="17.28515625" style="19" bestFit="1" customWidth="1"/>
    <col min="7" max="7" width="12.140625" style="19" bestFit="1" customWidth="1"/>
    <col min="8" max="16384" width="9.140625" style="19"/>
  </cols>
  <sheetData>
    <row r="1" spans="1:7" s="26" customFormat="1">
      <c r="A1" s="1" t="s">
        <v>33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4" t="s">
        <v>34</v>
      </c>
      <c r="B2" s="8">
        <v>1117</v>
      </c>
      <c r="C2" s="8">
        <v>1001</v>
      </c>
      <c r="D2" s="8">
        <v>11901</v>
      </c>
      <c r="E2" s="8">
        <v>12023</v>
      </c>
      <c r="F2" s="30">
        <f>(B2-C2)/C2</f>
        <v>0.11588411588411589</v>
      </c>
      <c r="G2" s="30">
        <f>(D2-E2)/E2</f>
        <v>-1.0147217832487732E-2</v>
      </c>
    </row>
    <row r="3" spans="1:7">
      <c r="A3" s="14" t="s">
        <v>35</v>
      </c>
      <c r="B3" s="8">
        <v>227</v>
      </c>
      <c r="C3" s="8">
        <v>240</v>
      </c>
      <c r="D3" s="8">
        <v>2512</v>
      </c>
      <c r="E3" s="8">
        <v>2316</v>
      </c>
      <c r="F3" s="30">
        <f t="shared" ref="F3:F12" si="0">(B3-C3)/C3</f>
        <v>-5.4166666666666669E-2</v>
      </c>
      <c r="G3" s="30">
        <f t="shared" ref="G3:G12" si="1">(D3-E3)/E3</f>
        <v>8.46286701208981E-2</v>
      </c>
    </row>
    <row r="4" spans="1:7">
      <c r="A4" s="14" t="s">
        <v>36</v>
      </c>
      <c r="B4" s="8">
        <v>3151</v>
      </c>
      <c r="C4" s="8">
        <v>3381</v>
      </c>
      <c r="D4" s="8">
        <v>37558</v>
      </c>
      <c r="E4" s="8">
        <v>34778</v>
      </c>
      <c r="F4" s="30">
        <f t="shared" si="0"/>
        <v>-6.8027210884353748E-2</v>
      </c>
      <c r="G4" s="30">
        <f t="shared" si="1"/>
        <v>7.9935591465869232E-2</v>
      </c>
    </row>
    <row r="5" spans="1:7">
      <c r="A5" s="14" t="s">
        <v>37</v>
      </c>
      <c r="B5" s="8">
        <v>313</v>
      </c>
      <c r="C5" s="8">
        <v>285</v>
      </c>
      <c r="D5" s="8">
        <v>3325</v>
      </c>
      <c r="E5" s="8">
        <v>3737</v>
      </c>
      <c r="F5" s="30">
        <f t="shared" si="0"/>
        <v>9.8245614035087719E-2</v>
      </c>
      <c r="G5" s="30">
        <f t="shared" si="1"/>
        <v>-0.11024886272411025</v>
      </c>
    </row>
    <row r="6" spans="1:7">
      <c r="A6" s="14" t="s">
        <v>38</v>
      </c>
      <c r="B6" s="8">
        <v>12</v>
      </c>
      <c r="C6" s="8">
        <v>7</v>
      </c>
      <c r="D6" s="8">
        <v>120</v>
      </c>
      <c r="E6" s="8">
        <v>132</v>
      </c>
      <c r="F6" s="30">
        <f t="shared" si="0"/>
        <v>0.7142857142857143</v>
      </c>
      <c r="G6" s="30">
        <f t="shared" si="1"/>
        <v>-9.0909090909090912E-2</v>
      </c>
    </row>
    <row r="7" spans="1:7">
      <c r="A7" s="14" t="s">
        <v>39</v>
      </c>
      <c r="B7" s="8">
        <v>70</v>
      </c>
      <c r="C7" s="8">
        <v>61</v>
      </c>
      <c r="D7" s="8">
        <v>962</v>
      </c>
      <c r="E7" s="8">
        <v>983</v>
      </c>
      <c r="F7" s="30">
        <f t="shared" si="0"/>
        <v>0.14754098360655737</v>
      </c>
      <c r="G7" s="30">
        <f t="shared" si="1"/>
        <v>-2.1363173957273652E-2</v>
      </c>
    </row>
    <row r="8" spans="1:7">
      <c r="A8" s="14" t="s">
        <v>40</v>
      </c>
      <c r="B8" s="8">
        <v>1</v>
      </c>
      <c r="C8" s="8">
        <v>1</v>
      </c>
      <c r="D8" s="8">
        <v>21</v>
      </c>
      <c r="E8" s="8">
        <v>17</v>
      </c>
      <c r="F8" s="30">
        <v>0</v>
      </c>
      <c r="G8" s="30">
        <f t="shared" si="1"/>
        <v>0.23529411764705882</v>
      </c>
    </row>
    <row r="9" spans="1:7">
      <c r="A9" s="14" t="s">
        <v>103</v>
      </c>
      <c r="B9" s="8">
        <v>116</v>
      </c>
      <c r="C9" s="8">
        <v>113</v>
      </c>
      <c r="D9" s="8">
        <v>1300</v>
      </c>
      <c r="E9" s="8">
        <v>1355</v>
      </c>
      <c r="F9" s="30">
        <f t="shared" si="0"/>
        <v>2.6548672566371681E-2</v>
      </c>
      <c r="G9" s="30">
        <f t="shared" si="1"/>
        <v>-4.0590405904059039E-2</v>
      </c>
    </row>
    <row r="10" spans="1:7">
      <c r="A10" s="14" t="s">
        <v>138</v>
      </c>
      <c r="B10" s="8">
        <v>193</v>
      </c>
      <c r="C10" s="8">
        <v>121</v>
      </c>
      <c r="D10" s="8">
        <v>1810</v>
      </c>
      <c r="E10" s="8">
        <v>1633</v>
      </c>
      <c r="F10" s="30">
        <f t="shared" si="0"/>
        <v>0.5950413223140496</v>
      </c>
      <c r="G10" s="30">
        <f t="shared" si="1"/>
        <v>0.10838946723821188</v>
      </c>
    </row>
    <row r="11" spans="1:7">
      <c r="A11" s="20"/>
      <c r="B11" s="8"/>
      <c r="C11" s="8"/>
      <c r="D11" s="8"/>
      <c r="E11" s="8"/>
      <c r="F11" s="30"/>
      <c r="G11" s="30"/>
    </row>
    <row r="12" spans="1:7">
      <c r="A12" s="1" t="s">
        <v>102</v>
      </c>
      <c r="B12" s="25">
        <f>SUM(B2:B11)</f>
        <v>5200</v>
      </c>
      <c r="C12" s="25">
        <f t="shared" ref="C12:E12" si="2">SUM(C2:C11)</f>
        <v>5210</v>
      </c>
      <c r="D12" s="25">
        <f t="shared" si="2"/>
        <v>59509</v>
      </c>
      <c r="E12" s="25">
        <f t="shared" si="2"/>
        <v>56974</v>
      </c>
      <c r="F12" s="31">
        <f t="shared" si="0"/>
        <v>-1.9193857965451055E-3</v>
      </c>
      <c r="G12" s="31">
        <f t="shared" si="1"/>
        <v>4.449397971004318E-2</v>
      </c>
    </row>
    <row r="13" spans="1:7">
      <c r="A13" s="61"/>
      <c r="B13" s="3"/>
      <c r="C13" s="3"/>
      <c r="D13" s="3"/>
      <c r="E13" s="3"/>
      <c r="F13" s="65"/>
      <c r="G13" s="65"/>
    </row>
    <row r="14" spans="1:7">
      <c r="A14" s="61"/>
      <c r="B14" s="3"/>
      <c r="C14" s="3"/>
      <c r="D14" s="3"/>
      <c r="E14" s="3"/>
      <c r="F14" s="3"/>
      <c r="G14" s="3"/>
    </row>
    <row r="15" spans="1:7">
      <c r="A15" s="61"/>
      <c r="B15" s="3"/>
      <c r="C15" s="3"/>
      <c r="D15" s="3"/>
      <c r="E15" s="3"/>
      <c r="F15" s="3"/>
      <c r="G15" s="3"/>
    </row>
    <row r="16" spans="1:7" s="26" customFormat="1">
      <c r="A16" s="61"/>
      <c r="B16" s="61"/>
      <c r="C16" s="61"/>
      <c r="D16" s="61"/>
      <c r="E16" s="61"/>
      <c r="F16" s="61"/>
      <c r="G16" s="61"/>
    </row>
    <row r="17" spans="1:8">
      <c r="A17" s="57"/>
      <c r="B17" s="3"/>
      <c r="C17" s="3"/>
      <c r="D17" s="3"/>
      <c r="E17" s="3"/>
      <c r="F17" s="65"/>
      <c r="G17" s="65"/>
    </row>
    <row r="18" spans="1:8">
      <c r="A18" s="57"/>
      <c r="B18" s="3"/>
      <c r="C18" s="3"/>
      <c r="D18" s="3"/>
      <c r="E18" s="3"/>
      <c r="F18" s="65"/>
      <c r="G18" s="65"/>
    </row>
    <row r="19" spans="1:8">
      <c r="A19" s="57"/>
      <c r="B19" s="3"/>
      <c r="C19" s="3"/>
      <c r="D19" s="3"/>
      <c r="E19" s="3"/>
      <c r="F19" s="65"/>
      <c r="G19" s="65"/>
    </row>
    <row r="20" spans="1:8">
      <c r="A20" s="57"/>
      <c r="B20" s="3"/>
      <c r="C20" s="3"/>
      <c r="D20" s="3"/>
      <c r="E20" s="3"/>
      <c r="F20" s="65"/>
      <c r="G20" s="65"/>
    </row>
    <row r="21" spans="1:8">
      <c r="A21" s="57"/>
      <c r="B21" s="3"/>
      <c r="C21" s="3"/>
      <c r="D21" s="3"/>
      <c r="E21" s="3"/>
      <c r="F21" s="65"/>
      <c r="G21" s="65"/>
    </row>
    <row r="22" spans="1:8">
      <c r="A22" s="57"/>
      <c r="B22" s="3"/>
      <c r="C22" s="3"/>
      <c r="D22" s="3"/>
      <c r="E22" s="3"/>
      <c r="F22" s="65"/>
      <c r="G22" s="65"/>
    </row>
    <row r="23" spans="1:8">
      <c r="A23" s="57"/>
      <c r="B23" s="3"/>
      <c r="C23" s="3"/>
      <c r="D23" s="3"/>
      <c r="E23" s="3"/>
      <c r="F23" s="65"/>
      <c r="G23" s="65"/>
    </row>
    <row r="24" spans="1:8">
      <c r="A24" s="57"/>
      <c r="B24" s="3"/>
      <c r="C24" s="3"/>
      <c r="D24" s="3"/>
      <c r="E24" s="3"/>
      <c r="F24" s="65"/>
      <c r="G24" s="65"/>
    </row>
    <row r="25" spans="1:8">
      <c r="A25" s="61"/>
      <c r="B25" s="3"/>
      <c r="C25" s="3"/>
      <c r="D25" s="3"/>
      <c r="E25" s="3"/>
      <c r="F25" s="3"/>
      <c r="G25" s="3"/>
    </row>
    <row r="27" spans="1:8">
      <c r="A27" s="32"/>
      <c r="B27" s="33"/>
      <c r="C27" s="33"/>
      <c r="D27" s="33"/>
      <c r="E27" s="33"/>
      <c r="F27" s="33"/>
      <c r="G27" s="33"/>
      <c r="H27" s="33"/>
    </row>
    <row r="28" spans="1:8">
      <c r="A28" s="32"/>
      <c r="B28" s="32"/>
      <c r="C28" s="32"/>
      <c r="D28" s="32"/>
      <c r="E28" s="32"/>
      <c r="F28" s="32"/>
      <c r="G28" s="32"/>
      <c r="H28" s="33"/>
    </row>
    <row r="29" spans="1:8">
      <c r="A29" s="32"/>
      <c r="B29" s="33"/>
      <c r="C29" s="33"/>
      <c r="D29" s="33"/>
      <c r="E29" s="33"/>
      <c r="F29" s="34"/>
      <c r="G29" s="34"/>
      <c r="H29" s="33"/>
    </row>
    <row r="30" spans="1:8">
      <c r="A30" s="32"/>
      <c r="B30" s="33"/>
      <c r="C30" s="33"/>
      <c r="D30" s="33"/>
      <c r="E30" s="33"/>
      <c r="F30" s="33"/>
      <c r="G30" s="33"/>
      <c r="H30" s="33"/>
    </row>
    <row r="31" spans="1:8">
      <c r="A31" s="32"/>
      <c r="B31" s="33"/>
      <c r="C31" s="33"/>
      <c r="D31" s="33"/>
      <c r="E31" s="33"/>
      <c r="F31" s="33"/>
      <c r="G31" s="33"/>
      <c r="H31" s="33"/>
    </row>
    <row r="32" spans="1:8">
      <c r="A32" s="32"/>
      <c r="B32" s="32"/>
      <c r="C32" s="32"/>
      <c r="D32" s="32"/>
      <c r="E32" s="32"/>
      <c r="F32" s="32"/>
      <c r="G32" s="32"/>
      <c r="H32" s="33"/>
    </row>
    <row r="33" spans="1:8">
      <c r="A33" s="32"/>
      <c r="B33" s="33"/>
      <c r="C33" s="33"/>
      <c r="D33" s="33"/>
      <c r="E33" s="33"/>
      <c r="F33" s="34"/>
      <c r="G33" s="34"/>
      <c r="H33" s="33"/>
    </row>
    <row r="34" spans="1:8">
      <c r="A34" s="32"/>
      <c r="B34" s="33"/>
      <c r="C34" s="33"/>
      <c r="D34" s="33"/>
      <c r="E34" s="33"/>
      <c r="F34" s="34"/>
      <c r="G34" s="34"/>
      <c r="H34" s="33"/>
    </row>
    <row r="35" spans="1:8">
      <c r="A35" s="32"/>
      <c r="B35" s="33"/>
      <c r="C35" s="33"/>
      <c r="D35" s="33"/>
      <c r="E35" s="33"/>
      <c r="F35" s="34"/>
      <c r="G35" s="34"/>
      <c r="H35" s="33"/>
    </row>
    <row r="36" spans="1:8">
      <c r="A36" s="32"/>
      <c r="B36" s="33"/>
      <c r="C36" s="33"/>
      <c r="D36" s="33"/>
      <c r="E36" s="33"/>
      <c r="F36" s="34"/>
      <c r="G36" s="34"/>
      <c r="H36" s="33"/>
    </row>
    <row r="37" spans="1:8">
      <c r="A37" s="32"/>
      <c r="B37" s="33"/>
      <c r="C37" s="33"/>
      <c r="D37" s="33"/>
      <c r="E37" s="33"/>
      <c r="F37" s="34"/>
      <c r="G37" s="34"/>
      <c r="H37" s="33"/>
    </row>
    <row r="38" spans="1:8">
      <c r="A38" s="32"/>
      <c r="B38" s="33"/>
      <c r="C38" s="33"/>
      <c r="D38" s="33"/>
      <c r="E38" s="33"/>
      <c r="F38" s="34"/>
      <c r="G38" s="34"/>
      <c r="H38" s="33"/>
    </row>
    <row r="39" spans="1:8">
      <c r="A39" s="32"/>
      <c r="B39" s="33"/>
      <c r="C39" s="33"/>
      <c r="D39" s="33"/>
      <c r="E39" s="33"/>
      <c r="F39" s="34"/>
      <c r="G39" s="34"/>
      <c r="H39" s="33"/>
    </row>
    <row r="40" spans="1:8">
      <c r="A40" s="32"/>
      <c r="B40" s="33"/>
      <c r="C40" s="33"/>
      <c r="D40" s="33"/>
      <c r="E40" s="33"/>
      <c r="F40" s="34"/>
      <c r="G40" s="34"/>
      <c r="H40" s="33"/>
    </row>
    <row r="41" spans="1:8">
      <c r="A41" s="32"/>
      <c r="B41" s="33"/>
      <c r="C41" s="33"/>
      <c r="D41" s="33"/>
      <c r="E41" s="33"/>
      <c r="F41" s="33"/>
      <c r="G41" s="33"/>
      <c r="H41" s="33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36" sqref="A36"/>
    </sheetView>
  </sheetViews>
  <sheetFormatPr defaultRowHeight="12.75"/>
  <cols>
    <col min="1" max="1" width="19" style="19" bestFit="1" customWidth="1"/>
    <col min="2" max="2" width="10.85546875" style="19" bestFit="1" customWidth="1"/>
    <col min="3" max="3" width="20.140625" style="19" bestFit="1" customWidth="1"/>
    <col min="4" max="4" width="4.5703125" style="19" bestFit="1" customWidth="1"/>
    <col min="5" max="5" width="8.85546875" style="19" bestFit="1" customWidth="1"/>
    <col min="6" max="6" width="17.28515625" style="19" bestFit="1" customWidth="1"/>
    <col min="7" max="7" width="12.140625" style="19" bestFit="1" customWidth="1"/>
    <col min="8" max="16384" width="9.140625" style="19"/>
  </cols>
  <sheetData>
    <row r="1" spans="1:7">
      <c r="A1" s="1"/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4" t="s">
        <v>249</v>
      </c>
      <c r="B2" s="8">
        <v>6</v>
      </c>
      <c r="C2" s="8">
        <v>6</v>
      </c>
      <c r="D2" s="8">
        <v>63</v>
      </c>
      <c r="E2" s="8">
        <v>59</v>
      </c>
      <c r="F2" s="30">
        <f>(B2-C2)/C2</f>
        <v>0</v>
      </c>
      <c r="G2" s="30">
        <f>(D2-E2)/E2</f>
        <v>6.7796610169491525E-2</v>
      </c>
    </row>
    <row r="3" spans="1:7">
      <c r="A3" s="14" t="s">
        <v>48</v>
      </c>
      <c r="B3" s="8">
        <v>6</v>
      </c>
      <c r="C3" s="8">
        <v>4</v>
      </c>
      <c r="D3" s="8">
        <v>63</v>
      </c>
      <c r="E3" s="8">
        <v>57</v>
      </c>
      <c r="F3" s="30">
        <f t="shared" ref="F3:F9" si="0">(B3-C3)/C3</f>
        <v>0.5</v>
      </c>
      <c r="G3" s="30">
        <f t="shared" ref="G3:G9" si="1">(D3-E3)/E3</f>
        <v>0.10526315789473684</v>
      </c>
    </row>
    <row r="4" spans="1:7">
      <c r="A4" s="14" t="s">
        <v>90</v>
      </c>
      <c r="B4" s="8">
        <v>6</v>
      </c>
      <c r="C4" s="8">
        <v>5</v>
      </c>
      <c r="D4" s="8">
        <v>58</v>
      </c>
      <c r="E4" s="8">
        <v>42</v>
      </c>
      <c r="F4" s="30">
        <f t="shared" si="0"/>
        <v>0.2</v>
      </c>
      <c r="G4" s="30">
        <f t="shared" si="1"/>
        <v>0.38095238095238093</v>
      </c>
    </row>
    <row r="5" spans="1:7">
      <c r="A5" s="14" t="s">
        <v>91</v>
      </c>
      <c r="B5" s="8">
        <v>0</v>
      </c>
      <c r="C5" s="8">
        <v>1</v>
      </c>
      <c r="D5" s="8">
        <v>5</v>
      </c>
      <c r="E5" s="8">
        <v>8</v>
      </c>
      <c r="F5" s="30">
        <f t="shared" si="0"/>
        <v>-1</v>
      </c>
      <c r="G5" s="30">
        <f t="shared" si="1"/>
        <v>-0.375</v>
      </c>
    </row>
    <row r="6" spans="1:7">
      <c r="A6" s="14" t="s">
        <v>92</v>
      </c>
      <c r="B6" s="8">
        <v>5</v>
      </c>
      <c r="C6" s="8">
        <v>1</v>
      </c>
      <c r="D6" s="8">
        <v>43</v>
      </c>
      <c r="E6" s="8">
        <v>37</v>
      </c>
      <c r="F6" s="30">
        <f t="shared" si="0"/>
        <v>4</v>
      </c>
      <c r="G6" s="30">
        <f t="shared" si="1"/>
        <v>0.16216216216216217</v>
      </c>
    </row>
    <row r="7" spans="1:7">
      <c r="A7" s="14" t="s">
        <v>93</v>
      </c>
      <c r="B7" s="8">
        <v>0</v>
      </c>
      <c r="C7" s="8">
        <v>1</v>
      </c>
      <c r="D7" s="8">
        <v>3</v>
      </c>
      <c r="E7" s="8">
        <v>4</v>
      </c>
      <c r="F7" s="30">
        <f t="shared" si="0"/>
        <v>-1</v>
      </c>
      <c r="G7" s="30">
        <f t="shared" si="1"/>
        <v>-0.25</v>
      </c>
    </row>
    <row r="8" spans="1:7">
      <c r="A8" s="14" t="s">
        <v>94</v>
      </c>
      <c r="B8" s="8">
        <v>0</v>
      </c>
      <c r="C8" s="8">
        <v>0</v>
      </c>
      <c r="D8" s="8">
        <v>7</v>
      </c>
      <c r="E8" s="8">
        <v>1</v>
      </c>
      <c r="F8" s="30" t="e">
        <f t="shared" si="0"/>
        <v>#DIV/0!</v>
      </c>
      <c r="G8" s="30">
        <f t="shared" si="1"/>
        <v>6</v>
      </c>
    </row>
    <row r="9" spans="1:7">
      <c r="A9" s="14" t="s">
        <v>95</v>
      </c>
      <c r="B9" s="8">
        <v>1</v>
      </c>
      <c r="C9" s="8">
        <v>2</v>
      </c>
      <c r="D9" s="8">
        <v>10</v>
      </c>
      <c r="E9" s="8">
        <v>15</v>
      </c>
      <c r="F9" s="30">
        <f t="shared" si="0"/>
        <v>-0.5</v>
      </c>
      <c r="G9" s="30">
        <f t="shared" si="1"/>
        <v>-0.33333333333333331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/>
  </sheetViews>
  <sheetFormatPr defaultRowHeight="12.75"/>
  <cols>
    <col min="1" max="1" width="42.5703125" style="26" bestFit="1" customWidth="1"/>
    <col min="2" max="2" width="10.85546875" style="19" bestFit="1" customWidth="1"/>
    <col min="3" max="3" width="20" style="19" bestFit="1" customWidth="1"/>
    <col min="4" max="4" width="9" style="19" customWidth="1"/>
    <col min="5" max="5" width="8.85546875" style="19" bestFit="1" customWidth="1"/>
    <col min="6" max="6" width="17.28515625" style="19" bestFit="1" customWidth="1"/>
    <col min="7" max="7" width="12.140625" style="19" bestFit="1" customWidth="1"/>
    <col min="8" max="16384" width="9.140625" style="19"/>
  </cols>
  <sheetData>
    <row r="1" spans="1:7">
      <c r="A1" s="1" t="s">
        <v>104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4" t="s">
        <v>105</v>
      </c>
      <c r="B2" s="39">
        <v>14</v>
      </c>
      <c r="C2" s="39">
        <v>10</v>
      </c>
      <c r="D2" s="39">
        <f>153-3</f>
        <v>150</v>
      </c>
      <c r="E2" s="39">
        <f>154-10</f>
        <v>144</v>
      </c>
      <c r="F2" s="40">
        <f>(B2-C2)/C2</f>
        <v>0.4</v>
      </c>
      <c r="G2" s="40">
        <f>(D2-E2)/E2</f>
        <v>4.1666666666666664E-2</v>
      </c>
    </row>
    <row r="3" spans="1:7">
      <c r="A3" s="14" t="s">
        <v>106</v>
      </c>
      <c r="B3" s="39">
        <v>103</v>
      </c>
      <c r="C3" s="39">
        <v>120</v>
      </c>
      <c r="D3" s="39">
        <f>1256-18</f>
        <v>1238</v>
      </c>
      <c r="E3" s="39">
        <f>1598-123</f>
        <v>1475</v>
      </c>
      <c r="F3" s="40">
        <f t="shared" ref="F3:F49" si="0">(B3-C3)/C3</f>
        <v>-0.14166666666666666</v>
      </c>
      <c r="G3" s="40">
        <f t="shared" ref="G3:G49" si="1">(D3-E3)/E3</f>
        <v>-0.16067796610169491</v>
      </c>
    </row>
    <row r="4" spans="1:7">
      <c r="A4" s="14" t="s">
        <v>18</v>
      </c>
      <c r="B4" s="39">
        <v>598</v>
      </c>
      <c r="C4" s="39">
        <v>462</v>
      </c>
      <c r="D4" s="39">
        <f>5983-131</f>
        <v>5852</v>
      </c>
      <c r="E4" s="39">
        <f>5154-374</f>
        <v>4780</v>
      </c>
      <c r="F4" s="40">
        <f t="shared" si="0"/>
        <v>0.2943722943722944</v>
      </c>
      <c r="G4" s="40">
        <f t="shared" si="1"/>
        <v>0.22426778242677825</v>
      </c>
    </row>
    <row r="5" spans="1:7">
      <c r="A5" s="14" t="s">
        <v>6</v>
      </c>
      <c r="B5" s="39">
        <v>2</v>
      </c>
      <c r="C5" s="39">
        <v>5</v>
      </c>
      <c r="D5" s="39">
        <f>8</f>
        <v>8</v>
      </c>
      <c r="E5" s="39">
        <f>18</f>
        <v>18</v>
      </c>
      <c r="F5" s="40">
        <f t="shared" si="0"/>
        <v>-0.6</v>
      </c>
      <c r="G5" s="40">
        <f t="shared" si="1"/>
        <v>-0.55555555555555558</v>
      </c>
    </row>
    <row r="6" spans="1:7">
      <c r="A6" s="14" t="s">
        <v>12</v>
      </c>
      <c r="B6" s="39">
        <v>15</v>
      </c>
      <c r="C6" s="39">
        <v>3</v>
      </c>
      <c r="D6" s="39">
        <f>102-4</f>
        <v>98</v>
      </c>
      <c r="E6" s="39">
        <f>90-6</f>
        <v>84</v>
      </c>
      <c r="F6" s="40">
        <f t="shared" si="0"/>
        <v>4</v>
      </c>
      <c r="G6" s="40">
        <f t="shared" si="1"/>
        <v>0.16666666666666666</v>
      </c>
    </row>
    <row r="7" spans="1:7">
      <c r="A7" s="14" t="s">
        <v>177</v>
      </c>
      <c r="B7" s="8">
        <v>0</v>
      </c>
      <c r="C7" s="39">
        <v>0</v>
      </c>
      <c r="D7" s="39">
        <f>4</f>
        <v>4</v>
      </c>
      <c r="E7" s="39">
        <f>0</f>
        <v>0</v>
      </c>
      <c r="F7" s="40" t="e">
        <f t="shared" si="0"/>
        <v>#DIV/0!</v>
      </c>
      <c r="G7" s="40" t="e">
        <f t="shared" si="1"/>
        <v>#DIV/0!</v>
      </c>
    </row>
    <row r="8" spans="1:7">
      <c r="A8" s="14" t="s">
        <v>145</v>
      </c>
      <c r="B8" s="8">
        <v>0</v>
      </c>
      <c r="C8" s="39">
        <v>0</v>
      </c>
      <c r="D8" s="8">
        <f>0</f>
        <v>0</v>
      </c>
      <c r="E8" s="8">
        <f>0</f>
        <v>0</v>
      </c>
      <c r="F8" s="40" t="e">
        <f t="shared" si="0"/>
        <v>#DIV/0!</v>
      </c>
      <c r="G8" s="40" t="e">
        <f t="shared" si="1"/>
        <v>#DIV/0!</v>
      </c>
    </row>
    <row r="9" spans="1:7">
      <c r="A9" s="14" t="s">
        <v>107</v>
      </c>
      <c r="B9" s="39">
        <v>98</v>
      </c>
      <c r="C9" s="39">
        <v>128</v>
      </c>
      <c r="D9" s="39">
        <f>1144-25</f>
        <v>1119</v>
      </c>
      <c r="E9" s="39">
        <f>1411-109</f>
        <v>1302</v>
      </c>
      <c r="F9" s="40">
        <f t="shared" si="0"/>
        <v>-0.234375</v>
      </c>
      <c r="G9" s="40">
        <f t="shared" si="1"/>
        <v>-0.14055299539170507</v>
      </c>
    </row>
    <row r="10" spans="1:7">
      <c r="A10" s="14" t="s">
        <v>108</v>
      </c>
      <c r="B10" s="39">
        <v>12</v>
      </c>
      <c r="C10" s="39">
        <v>17</v>
      </c>
      <c r="D10" s="39">
        <f>173-5</f>
        <v>168</v>
      </c>
      <c r="E10" s="39">
        <f>179-7</f>
        <v>172</v>
      </c>
      <c r="F10" s="40">
        <f t="shared" si="0"/>
        <v>-0.29411764705882354</v>
      </c>
      <c r="G10" s="40">
        <f t="shared" si="1"/>
        <v>-2.3255813953488372E-2</v>
      </c>
    </row>
    <row r="11" spans="1:7">
      <c r="A11" s="14" t="s">
        <v>109</v>
      </c>
      <c r="B11" s="39">
        <v>26</v>
      </c>
      <c r="C11" s="39">
        <v>14</v>
      </c>
      <c r="D11" s="39">
        <f>187-3</f>
        <v>184</v>
      </c>
      <c r="E11" s="39">
        <f>209-17</f>
        <v>192</v>
      </c>
      <c r="F11" s="40">
        <f t="shared" si="0"/>
        <v>0.8571428571428571</v>
      </c>
      <c r="G11" s="40">
        <f t="shared" si="1"/>
        <v>-4.1666666666666664E-2</v>
      </c>
    </row>
    <row r="12" spans="1:7">
      <c r="A12" s="14" t="s">
        <v>13</v>
      </c>
      <c r="B12" s="39">
        <v>8</v>
      </c>
      <c r="C12" s="8">
        <v>4</v>
      </c>
      <c r="D12" s="39">
        <f>30</f>
        <v>30</v>
      </c>
      <c r="E12" s="39">
        <f>16</f>
        <v>16</v>
      </c>
      <c r="F12" s="40">
        <f t="shared" si="0"/>
        <v>1</v>
      </c>
      <c r="G12" s="40">
        <f t="shared" si="1"/>
        <v>0.875</v>
      </c>
    </row>
    <row r="13" spans="1:7">
      <c r="A13" s="14" t="s">
        <v>110</v>
      </c>
      <c r="B13" s="39">
        <v>76</v>
      </c>
      <c r="C13" s="39">
        <v>91</v>
      </c>
      <c r="D13" s="39">
        <f>982-21</f>
        <v>961</v>
      </c>
      <c r="E13" s="39">
        <f>1204-80</f>
        <v>1124</v>
      </c>
      <c r="F13" s="40">
        <f t="shared" si="0"/>
        <v>-0.16483516483516483</v>
      </c>
      <c r="G13" s="40">
        <f t="shared" si="1"/>
        <v>-0.14501779359430605</v>
      </c>
    </row>
    <row r="14" spans="1:7">
      <c r="A14" s="14" t="s">
        <v>14</v>
      </c>
      <c r="B14" s="39">
        <v>9</v>
      </c>
      <c r="C14" s="39">
        <v>22</v>
      </c>
      <c r="D14" s="39">
        <f>146-2</f>
        <v>144</v>
      </c>
      <c r="E14" s="39">
        <f>221-12</f>
        <v>209</v>
      </c>
      <c r="F14" s="40">
        <f t="shared" si="0"/>
        <v>-0.59090909090909094</v>
      </c>
      <c r="G14" s="40">
        <f t="shared" si="1"/>
        <v>-0.31100478468899523</v>
      </c>
    </row>
    <row r="15" spans="1:7">
      <c r="A15" s="14" t="s">
        <v>111</v>
      </c>
      <c r="B15" s="39">
        <v>30</v>
      </c>
      <c r="C15" s="39">
        <v>37</v>
      </c>
      <c r="D15" s="39">
        <f>355-4</f>
        <v>351</v>
      </c>
      <c r="E15" s="39">
        <f>481-29</f>
        <v>452</v>
      </c>
      <c r="F15" s="40">
        <f t="shared" si="0"/>
        <v>-0.1891891891891892</v>
      </c>
      <c r="G15" s="40">
        <f t="shared" si="1"/>
        <v>-0.22345132743362831</v>
      </c>
    </row>
    <row r="16" spans="1:7">
      <c r="A16" s="14" t="s">
        <v>112</v>
      </c>
      <c r="B16" s="39">
        <v>13</v>
      </c>
      <c r="C16" s="39">
        <v>5</v>
      </c>
      <c r="D16" s="39">
        <f>151-2</f>
        <v>149</v>
      </c>
      <c r="E16" s="39">
        <f>82-4</f>
        <v>78</v>
      </c>
      <c r="F16" s="40">
        <f t="shared" si="0"/>
        <v>1.6</v>
      </c>
      <c r="G16" s="40">
        <f t="shared" si="1"/>
        <v>0.91025641025641024</v>
      </c>
    </row>
    <row r="17" spans="1:18">
      <c r="A17" s="14" t="s">
        <v>113</v>
      </c>
      <c r="B17" s="39">
        <v>48</v>
      </c>
      <c r="C17" s="39">
        <v>44</v>
      </c>
      <c r="D17" s="39">
        <f>572-5</f>
        <v>567</v>
      </c>
      <c r="E17" s="39">
        <f>586-45</f>
        <v>541</v>
      </c>
      <c r="F17" s="40">
        <f t="shared" si="0"/>
        <v>9.0909090909090912E-2</v>
      </c>
      <c r="G17" s="40">
        <f t="shared" si="1"/>
        <v>4.8059149722735672E-2</v>
      </c>
    </row>
    <row r="18" spans="1:18">
      <c r="A18" s="14" t="s">
        <v>114</v>
      </c>
      <c r="B18" s="39">
        <v>26</v>
      </c>
      <c r="C18" s="39">
        <v>29</v>
      </c>
      <c r="D18" s="39">
        <f>325-5</f>
        <v>320</v>
      </c>
      <c r="E18" s="39">
        <f>401-26</f>
        <v>375</v>
      </c>
      <c r="F18" s="40">
        <f t="shared" si="0"/>
        <v>-0.10344827586206896</v>
      </c>
      <c r="G18" s="40">
        <f t="shared" si="1"/>
        <v>-0.14666666666666667</v>
      </c>
    </row>
    <row r="19" spans="1:18">
      <c r="A19" s="14" t="s">
        <v>115</v>
      </c>
      <c r="B19" s="39">
        <v>5</v>
      </c>
      <c r="C19" s="39">
        <v>3</v>
      </c>
      <c r="D19" s="39">
        <f>54-2</f>
        <v>52</v>
      </c>
      <c r="E19" s="39">
        <f>85-6</f>
        <v>79</v>
      </c>
      <c r="F19" s="40">
        <f t="shared" si="0"/>
        <v>0.66666666666666663</v>
      </c>
      <c r="G19" s="40">
        <f t="shared" si="1"/>
        <v>-0.34177215189873417</v>
      </c>
    </row>
    <row r="20" spans="1:18">
      <c r="A20" s="14" t="s">
        <v>116</v>
      </c>
      <c r="B20" s="39">
        <v>1</v>
      </c>
      <c r="C20" s="39">
        <v>1</v>
      </c>
      <c r="D20" s="39">
        <f>21</f>
        <v>21</v>
      </c>
      <c r="E20" s="39">
        <f>11-1</f>
        <v>10</v>
      </c>
      <c r="F20" s="40">
        <f t="shared" si="0"/>
        <v>0</v>
      </c>
      <c r="G20" s="40">
        <f t="shared" si="1"/>
        <v>1.1000000000000001</v>
      </c>
    </row>
    <row r="21" spans="1:18">
      <c r="A21" s="14" t="s">
        <v>117</v>
      </c>
      <c r="B21" s="39">
        <v>3</v>
      </c>
      <c r="C21" s="39">
        <v>2</v>
      </c>
      <c r="D21" s="39">
        <f>24</f>
        <v>24</v>
      </c>
      <c r="E21" s="39">
        <f>32-4</f>
        <v>28</v>
      </c>
      <c r="F21" s="40">
        <f t="shared" si="0"/>
        <v>0.5</v>
      </c>
      <c r="G21" s="40">
        <f t="shared" si="1"/>
        <v>-0.14285714285714285</v>
      </c>
    </row>
    <row r="22" spans="1:18">
      <c r="A22" s="14" t="s">
        <v>118</v>
      </c>
      <c r="B22" s="39">
        <v>0</v>
      </c>
      <c r="C22" s="8">
        <v>0</v>
      </c>
      <c r="D22" s="39">
        <f>2</f>
        <v>2</v>
      </c>
      <c r="E22" s="39">
        <f>6</f>
        <v>6</v>
      </c>
      <c r="F22" s="40" t="e">
        <f t="shared" si="0"/>
        <v>#DIV/0!</v>
      </c>
      <c r="G22" s="40">
        <f t="shared" si="1"/>
        <v>-0.66666666666666663</v>
      </c>
    </row>
    <row r="23" spans="1:18">
      <c r="A23" s="14" t="s">
        <v>135</v>
      </c>
      <c r="B23" s="8">
        <v>0</v>
      </c>
      <c r="C23" s="8">
        <v>0</v>
      </c>
      <c r="D23" s="39">
        <f>2</f>
        <v>2</v>
      </c>
      <c r="E23" s="8">
        <f>0</f>
        <v>0</v>
      </c>
      <c r="F23" s="40" t="e">
        <f t="shared" si="0"/>
        <v>#DIV/0!</v>
      </c>
      <c r="G23" s="40" t="e">
        <f t="shared" si="1"/>
        <v>#DIV/0!</v>
      </c>
    </row>
    <row r="24" spans="1:18">
      <c r="A24" s="14" t="s">
        <v>119</v>
      </c>
      <c r="B24" s="39">
        <v>0</v>
      </c>
      <c r="C24" s="8">
        <v>0</v>
      </c>
      <c r="D24" s="39">
        <f>6-1</f>
        <v>5</v>
      </c>
      <c r="E24" s="39">
        <f>4</f>
        <v>4</v>
      </c>
      <c r="F24" s="40" t="e">
        <f t="shared" si="0"/>
        <v>#DIV/0!</v>
      </c>
      <c r="G24" s="40">
        <f t="shared" si="1"/>
        <v>0.25</v>
      </c>
    </row>
    <row r="25" spans="1:18">
      <c r="A25" s="14" t="s">
        <v>136</v>
      </c>
      <c r="B25" s="8">
        <v>0</v>
      </c>
      <c r="C25" s="8">
        <v>0</v>
      </c>
      <c r="D25" s="39">
        <f>2</f>
        <v>2</v>
      </c>
      <c r="E25" s="39">
        <f>3</f>
        <v>3</v>
      </c>
      <c r="F25" s="40" t="e">
        <f t="shared" si="0"/>
        <v>#DIV/0!</v>
      </c>
      <c r="G25" s="40">
        <f t="shared" si="1"/>
        <v>-0.33333333333333331</v>
      </c>
    </row>
    <row r="26" spans="1:18">
      <c r="A26" s="14" t="s">
        <v>120</v>
      </c>
      <c r="B26" s="39">
        <v>56</v>
      </c>
      <c r="C26" s="39">
        <v>54</v>
      </c>
      <c r="D26" s="39">
        <f>621-9</f>
        <v>612</v>
      </c>
      <c r="E26" s="39">
        <f>900-58</f>
        <v>842</v>
      </c>
      <c r="F26" s="40">
        <f t="shared" si="0"/>
        <v>3.7037037037037035E-2</v>
      </c>
      <c r="G26" s="40">
        <f t="shared" si="1"/>
        <v>-0.27315914489311166</v>
      </c>
    </row>
    <row r="27" spans="1:18">
      <c r="A27" s="14" t="s">
        <v>139</v>
      </c>
      <c r="B27" s="8">
        <v>0</v>
      </c>
      <c r="C27" s="8">
        <v>0</v>
      </c>
      <c r="D27" s="8">
        <f>0</f>
        <v>0</v>
      </c>
      <c r="E27" s="8">
        <f>0</f>
        <v>0</v>
      </c>
      <c r="F27" s="40" t="e">
        <f t="shared" si="0"/>
        <v>#DIV/0!</v>
      </c>
      <c r="G27" s="40" t="e">
        <f t="shared" si="1"/>
        <v>#DIV/0!</v>
      </c>
    </row>
    <row r="28" spans="1:18">
      <c r="A28" s="14" t="s">
        <v>7</v>
      </c>
      <c r="B28" s="39">
        <v>3</v>
      </c>
      <c r="C28" s="39">
        <v>2</v>
      </c>
      <c r="D28" s="39">
        <f>18</f>
        <v>18</v>
      </c>
      <c r="E28" s="39">
        <f>23</f>
        <v>23</v>
      </c>
      <c r="F28" s="40">
        <f t="shared" si="0"/>
        <v>0.5</v>
      </c>
      <c r="G28" s="40">
        <f t="shared" si="1"/>
        <v>-0.21739130434782608</v>
      </c>
    </row>
    <row r="29" spans="1:18" s="26" customFormat="1">
      <c r="A29" s="14" t="s">
        <v>16</v>
      </c>
      <c r="B29" s="39">
        <v>1</v>
      </c>
      <c r="C29" s="39">
        <v>2</v>
      </c>
      <c r="D29" s="39">
        <f>19</f>
        <v>19</v>
      </c>
      <c r="E29" s="39">
        <f>31-5</f>
        <v>26</v>
      </c>
      <c r="F29" s="40">
        <f t="shared" si="0"/>
        <v>-0.5</v>
      </c>
      <c r="G29" s="40">
        <f t="shared" si="1"/>
        <v>-0.26923076923076922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>
      <c r="A30" s="14" t="s">
        <v>8</v>
      </c>
      <c r="B30" s="39">
        <v>9</v>
      </c>
      <c r="C30" s="39">
        <v>9</v>
      </c>
      <c r="D30" s="39">
        <f>89</f>
        <v>89</v>
      </c>
      <c r="E30" s="39">
        <f>122-7</f>
        <v>115</v>
      </c>
      <c r="F30" s="40">
        <f t="shared" si="0"/>
        <v>0</v>
      </c>
      <c r="G30" s="40">
        <f t="shared" si="1"/>
        <v>-0.22608695652173913</v>
      </c>
    </row>
    <row r="31" spans="1:18">
      <c r="A31" s="14" t="s">
        <v>121</v>
      </c>
      <c r="B31" s="39">
        <v>0</v>
      </c>
      <c r="C31" s="8">
        <v>0</v>
      </c>
      <c r="D31" s="39">
        <f>3</f>
        <v>3</v>
      </c>
      <c r="E31" s="39">
        <f>3</f>
        <v>3</v>
      </c>
      <c r="F31" s="40" t="e">
        <f t="shared" si="0"/>
        <v>#DIV/0!</v>
      </c>
      <c r="G31" s="40">
        <f t="shared" si="1"/>
        <v>0</v>
      </c>
    </row>
    <row r="32" spans="1:18">
      <c r="A32" s="14" t="s">
        <v>122</v>
      </c>
      <c r="B32" s="8">
        <v>0</v>
      </c>
      <c r="C32" s="8">
        <v>0</v>
      </c>
      <c r="D32" s="39">
        <f>4</f>
        <v>4</v>
      </c>
      <c r="E32" s="8">
        <f>0</f>
        <v>0</v>
      </c>
      <c r="F32" s="40" t="e">
        <f t="shared" si="0"/>
        <v>#DIV/0!</v>
      </c>
      <c r="G32" s="40" t="e">
        <f t="shared" si="1"/>
        <v>#DIV/0!</v>
      </c>
    </row>
    <row r="33" spans="1:7">
      <c r="A33" s="14" t="s">
        <v>123</v>
      </c>
      <c r="B33" s="8">
        <v>1</v>
      </c>
      <c r="C33" s="39">
        <v>1</v>
      </c>
      <c r="D33" s="39">
        <f>4</f>
        <v>4</v>
      </c>
      <c r="E33" s="39">
        <f>11</f>
        <v>11</v>
      </c>
      <c r="F33" s="40">
        <f t="shared" si="0"/>
        <v>0</v>
      </c>
      <c r="G33" s="40">
        <f t="shared" si="1"/>
        <v>-0.63636363636363635</v>
      </c>
    </row>
    <row r="34" spans="1:7">
      <c r="A34" s="14" t="s">
        <v>124</v>
      </c>
      <c r="B34" s="8">
        <v>0</v>
      </c>
      <c r="C34" s="39">
        <v>0</v>
      </c>
      <c r="D34" s="39">
        <f>12</f>
        <v>12</v>
      </c>
      <c r="E34" s="39">
        <f>12</f>
        <v>12</v>
      </c>
      <c r="F34" s="40" t="e">
        <f t="shared" si="0"/>
        <v>#DIV/0!</v>
      </c>
      <c r="G34" s="40">
        <f t="shared" si="1"/>
        <v>0</v>
      </c>
    </row>
    <row r="35" spans="1:7">
      <c r="A35" s="14" t="s">
        <v>9</v>
      </c>
      <c r="B35" s="39">
        <v>7</v>
      </c>
      <c r="C35" s="8">
        <v>0</v>
      </c>
      <c r="D35" s="39">
        <f>11</f>
        <v>11</v>
      </c>
      <c r="E35" s="39">
        <f>2</f>
        <v>2</v>
      </c>
      <c r="F35" s="40" t="e">
        <f t="shared" si="0"/>
        <v>#DIV/0!</v>
      </c>
      <c r="G35" s="40">
        <f t="shared" si="1"/>
        <v>4.5</v>
      </c>
    </row>
    <row r="36" spans="1:7">
      <c r="A36" s="14" t="s">
        <v>125</v>
      </c>
      <c r="B36" s="39">
        <v>4</v>
      </c>
      <c r="C36" s="39">
        <v>0</v>
      </c>
      <c r="D36" s="39">
        <f>19</f>
        <v>19</v>
      </c>
      <c r="E36" s="39">
        <f>19</f>
        <v>19</v>
      </c>
      <c r="F36" s="40" t="e">
        <f t="shared" si="0"/>
        <v>#DIV/0!</v>
      </c>
      <c r="G36" s="40">
        <f t="shared" si="1"/>
        <v>0</v>
      </c>
    </row>
    <row r="37" spans="1:7">
      <c r="A37" s="14" t="s">
        <v>10</v>
      </c>
      <c r="B37" s="39">
        <v>2</v>
      </c>
      <c r="C37" s="39">
        <v>14</v>
      </c>
      <c r="D37" s="39">
        <f>70</f>
        <v>70</v>
      </c>
      <c r="E37" s="39">
        <f>99-8</f>
        <v>91</v>
      </c>
      <c r="F37" s="40">
        <f t="shared" si="0"/>
        <v>-0.8571428571428571</v>
      </c>
      <c r="G37" s="40">
        <f t="shared" si="1"/>
        <v>-0.23076923076923078</v>
      </c>
    </row>
    <row r="38" spans="1:7">
      <c r="A38" s="14" t="s">
        <v>17</v>
      </c>
      <c r="B38" s="39">
        <v>12</v>
      </c>
      <c r="C38" s="39">
        <v>4</v>
      </c>
      <c r="D38" s="39">
        <f>109-3</f>
        <v>106</v>
      </c>
      <c r="E38" s="39">
        <f>106-8</f>
        <v>98</v>
      </c>
      <c r="F38" s="40">
        <f t="shared" si="0"/>
        <v>2</v>
      </c>
      <c r="G38" s="40">
        <f t="shared" si="1"/>
        <v>8.1632653061224483E-2</v>
      </c>
    </row>
    <row r="39" spans="1:7">
      <c r="A39" s="14" t="s">
        <v>126</v>
      </c>
      <c r="B39" s="8">
        <v>0</v>
      </c>
      <c r="C39" s="8">
        <v>0</v>
      </c>
      <c r="D39" s="39">
        <f>4</f>
        <v>4</v>
      </c>
      <c r="E39" s="39">
        <f>2</f>
        <v>2</v>
      </c>
      <c r="F39" s="40" t="e">
        <f t="shared" si="0"/>
        <v>#DIV/0!</v>
      </c>
      <c r="G39" s="40">
        <f t="shared" si="1"/>
        <v>1</v>
      </c>
    </row>
    <row r="40" spans="1:7">
      <c r="A40" s="14" t="s">
        <v>127</v>
      </c>
      <c r="B40" s="39">
        <v>32</v>
      </c>
      <c r="C40" s="39">
        <v>45</v>
      </c>
      <c r="D40" s="39">
        <f>417-9</f>
        <v>408</v>
      </c>
      <c r="E40" s="39">
        <f>416-43</f>
        <v>373</v>
      </c>
      <c r="F40" s="40">
        <f t="shared" si="0"/>
        <v>-0.28888888888888886</v>
      </c>
      <c r="G40" s="40">
        <f t="shared" si="1"/>
        <v>9.3833780160857902E-2</v>
      </c>
    </row>
    <row r="41" spans="1:7">
      <c r="A41" s="14" t="s">
        <v>128</v>
      </c>
      <c r="B41" s="39">
        <v>33</v>
      </c>
      <c r="C41" s="39">
        <v>50</v>
      </c>
      <c r="D41" s="39">
        <f>492-7</f>
        <v>485</v>
      </c>
      <c r="E41" s="39">
        <f>612-39</f>
        <v>573</v>
      </c>
      <c r="F41" s="40">
        <f t="shared" si="0"/>
        <v>-0.34</v>
      </c>
      <c r="G41" s="40">
        <f t="shared" si="1"/>
        <v>-0.15357766143106458</v>
      </c>
    </row>
    <row r="42" spans="1:7">
      <c r="A42" s="14" t="s">
        <v>129</v>
      </c>
      <c r="B42" s="39">
        <v>2</v>
      </c>
      <c r="C42" s="39">
        <v>5</v>
      </c>
      <c r="D42" s="39">
        <f>45</f>
        <v>45</v>
      </c>
      <c r="E42" s="39">
        <f>69-6</f>
        <v>63</v>
      </c>
      <c r="F42" s="40">
        <f t="shared" si="0"/>
        <v>-0.6</v>
      </c>
      <c r="G42" s="40">
        <f t="shared" si="1"/>
        <v>-0.2857142857142857</v>
      </c>
    </row>
    <row r="43" spans="1:7">
      <c r="A43" s="14" t="s">
        <v>130</v>
      </c>
      <c r="B43" s="39">
        <v>57</v>
      </c>
      <c r="C43" s="39">
        <v>69</v>
      </c>
      <c r="D43" s="39">
        <f>622-12</f>
        <v>610</v>
      </c>
      <c r="E43" s="39">
        <f>720-66</f>
        <v>654</v>
      </c>
      <c r="F43" s="40">
        <f t="shared" si="0"/>
        <v>-0.17391304347826086</v>
      </c>
      <c r="G43" s="40">
        <f t="shared" si="1"/>
        <v>-6.7278287461773695E-2</v>
      </c>
    </row>
    <row r="44" spans="1:7">
      <c r="A44" s="14" t="s">
        <v>137</v>
      </c>
      <c r="B44" s="8">
        <v>0</v>
      </c>
      <c r="C44" s="8">
        <v>1</v>
      </c>
      <c r="D44" s="8">
        <f>0</f>
        <v>0</v>
      </c>
      <c r="E44" s="39">
        <f>3</f>
        <v>3</v>
      </c>
      <c r="F44" s="40">
        <f t="shared" si="0"/>
        <v>-1</v>
      </c>
      <c r="G44" s="40">
        <f t="shared" si="1"/>
        <v>-1</v>
      </c>
    </row>
    <row r="45" spans="1:7">
      <c r="A45" s="14" t="s">
        <v>131</v>
      </c>
      <c r="B45" s="39">
        <v>24</v>
      </c>
      <c r="C45" s="39">
        <v>37</v>
      </c>
      <c r="D45" s="39">
        <f>358-11</f>
        <v>347</v>
      </c>
      <c r="E45" s="39">
        <f>469-31</f>
        <v>438</v>
      </c>
      <c r="F45" s="40">
        <f t="shared" si="0"/>
        <v>-0.35135135135135137</v>
      </c>
      <c r="G45" s="40">
        <f t="shared" si="1"/>
        <v>-0.20776255707762556</v>
      </c>
    </row>
    <row r="46" spans="1:7">
      <c r="A46" s="14" t="s">
        <v>132</v>
      </c>
      <c r="B46" s="39">
        <v>5</v>
      </c>
      <c r="C46" s="39">
        <v>1</v>
      </c>
      <c r="D46" s="39">
        <f>46</f>
        <v>46</v>
      </c>
      <c r="E46" s="39">
        <f>59-3</f>
        <v>56</v>
      </c>
      <c r="F46" s="40">
        <f t="shared" si="0"/>
        <v>4</v>
      </c>
      <c r="G46" s="40">
        <f t="shared" si="1"/>
        <v>-0.17857142857142858</v>
      </c>
    </row>
    <row r="47" spans="1:7">
      <c r="A47" s="14" t="s">
        <v>134</v>
      </c>
      <c r="B47" s="39">
        <v>17</v>
      </c>
      <c r="C47" s="39">
        <v>20</v>
      </c>
      <c r="D47" s="39">
        <f>203-2</f>
        <v>201</v>
      </c>
      <c r="E47" s="39">
        <f>271-22</f>
        <v>249</v>
      </c>
      <c r="F47" s="40">
        <f t="shared" si="0"/>
        <v>-0.15</v>
      </c>
      <c r="G47" s="40">
        <f t="shared" si="1"/>
        <v>-0.19277108433734941</v>
      </c>
    </row>
    <row r="48" spans="1:7">
      <c r="A48" s="14" t="s">
        <v>11</v>
      </c>
      <c r="B48" s="39">
        <v>6</v>
      </c>
      <c r="C48" s="39">
        <v>4</v>
      </c>
      <c r="D48" s="39">
        <f>74</f>
        <v>74</v>
      </c>
      <c r="E48" s="39">
        <f>73-3</f>
        <v>70</v>
      </c>
      <c r="F48" s="40">
        <f t="shared" si="0"/>
        <v>0.5</v>
      </c>
      <c r="G48" s="40">
        <f t="shared" si="1"/>
        <v>5.7142857142857141E-2</v>
      </c>
    </row>
    <row r="49" spans="1:7">
      <c r="A49" s="14" t="s">
        <v>133</v>
      </c>
      <c r="B49" s="8">
        <v>0</v>
      </c>
      <c r="C49" s="8">
        <v>0</v>
      </c>
      <c r="D49" s="8">
        <v>0</v>
      </c>
      <c r="E49" s="8">
        <f>0</f>
        <v>0</v>
      </c>
      <c r="F49" s="40" t="e">
        <f t="shared" si="0"/>
        <v>#DIV/0!</v>
      </c>
      <c r="G49" s="40" t="e">
        <f t="shared" si="1"/>
        <v>#DIV/0!</v>
      </c>
    </row>
    <row r="50" spans="1:7">
      <c r="A50" s="25"/>
      <c r="B50" s="8"/>
      <c r="C50" s="8"/>
      <c r="D50" s="8"/>
      <c r="E50" s="8"/>
      <c r="F50" s="25"/>
      <c r="G50" s="25"/>
    </row>
    <row r="51" spans="1:7">
      <c r="A51" s="2" t="s">
        <v>223</v>
      </c>
      <c r="B51" s="2" t="s">
        <v>0</v>
      </c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</row>
    <row r="52" spans="1:7">
      <c r="A52" s="1" t="s">
        <v>102</v>
      </c>
      <c r="B52" s="36">
        <f>SUM(B2:B49)</f>
        <v>1358</v>
      </c>
      <c r="C52" s="36">
        <f>SUM(C2:C51)</f>
        <v>1315</v>
      </c>
      <c r="D52" s="8">
        <f>SUM(D2:D49)</f>
        <v>14638</v>
      </c>
      <c r="E52" s="36">
        <f>SUM(E2:E48)</f>
        <v>14815</v>
      </c>
      <c r="F52" s="41">
        <f>(B52-C52)/C52</f>
        <v>3.2699619771863121E-2</v>
      </c>
      <c r="G52" s="41">
        <f>(D52-E52)/E52</f>
        <v>-1.1947350658116774E-2</v>
      </c>
    </row>
  </sheetData>
  <phoneticPr fontId="3" type="noConversion"/>
  <conditionalFormatting sqref="F2:G51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/>
  </sheetViews>
  <sheetFormatPr defaultRowHeight="12.75"/>
  <cols>
    <col min="1" max="1" width="31.85546875" style="19" bestFit="1" customWidth="1"/>
    <col min="2" max="2" width="10.85546875" style="19" bestFit="1" customWidth="1"/>
    <col min="3" max="3" width="22.28515625" style="19" customWidth="1"/>
    <col min="4" max="4" width="9.28515625" style="19" customWidth="1"/>
    <col min="5" max="5" width="8.85546875" style="19" bestFit="1" customWidth="1"/>
    <col min="6" max="6" width="17.28515625" style="19" bestFit="1" customWidth="1"/>
    <col min="7" max="7" width="12.140625" style="19" bestFit="1" customWidth="1"/>
    <col min="8" max="16384" width="9.140625" style="19"/>
  </cols>
  <sheetData>
    <row r="1" spans="1:7" s="26" customFormat="1">
      <c r="A1" s="2" t="s">
        <v>231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4" t="s">
        <v>73</v>
      </c>
      <c r="B2" s="39">
        <f>B13+B14</f>
        <v>390</v>
      </c>
      <c r="C2" s="39">
        <f>C13+C14</f>
        <v>331</v>
      </c>
      <c r="D2" s="54">
        <f>D13+D14</f>
        <v>3867</v>
      </c>
      <c r="E2" s="54">
        <f>E13+E14</f>
        <v>3626</v>
      </c>
      <c r="F2" s="40">
        <f>(B2-C2)/C2</f>
        <v>0.1782477341389728</v>
      </c>
      <c r="G2" s="40">
        <f>(D2-E2)/E2</f>
        <v>6.6464423607280748E-2</v>
      </c>
    </row>
    <row r="3" spans="1:7">
      <c r="A3" s="14" t="s">
        <v>74</v>
      </c>
      <c r="B3" s="39">
        <f>B15+B16</f>
        <v>270</v>
      </c>
      <c r="C3" s="39">
        <f>C15+C16</f>
        <v>241</v>
      </c>
      <c r="D3" s="54">
        <f>D15+D16</f>
        <v>3206</v>
      </c>
      <c r="E3" s="54">
        <f>E15+E16</f>
        <v>2751</v>
      </c>
      <c r="F3" s="40">
        <f t="shared" ref="F3:F6" si="0">(B3-C3)/C3</f>
        <v>0.12033195020746888</v>
      </c>
      <c r="G3" s="40">
        <f t="shared" ref="G3:G6" si="1">(D3-E3)/E3</f>
        <v>0.16539440203562342</v>
      </c>
    </row>
    <row r="4" spans="1:7">
      <c r="A4" s="14" t="s">
        <v>183</v>
      </c>
      <c r="B4" s="39">
        <f>B17+B18</f>
        <v>27</v>
      </c>
      <c r="C4" s="39">
        <f>C17+C18</f>
        <v>12</v>
      </c>
      <c r="D4" s="54">
        <f>D17+D18</f>
        <v>231</v>
      </c>
      <c r="E4" s="54">
        <f>E17+E18</f>
        <v>205</v>
      </c>
      <c r="F4" s="40">
        <f t="shared" si="0"/>
        <v>1.25</v>
      </c>
      <c r="G4" s="40">
        <f t="shared" si="1"/>
        <v>0.12682926829268293</v>
      </c>
    </row>
    <row r="5" spans="1:7">
      <c r="A5" s="14" t="s">
        <v>241</v>
      </c>
      <c r="B5" s="8">
        <f>0</f>
        <v>0</v>
      </c>
      <c r="C5" s="8">
        <f>0</f>
        <v>0</v>
      </c>
      <c r="D5" s="54">
        <f>D19+D20</f>
        <v>2</v>
      </c>
      <c r="E5" s="54">
        <f>E19+E20</f>
        <v>7</v>
      </c>
      <c r="F5" s="40" t="e">
        <f t="shared" si="0"/>
        <v>#DIV/0!</v>
      </c>
      <c r="G5" s="40">
        <f t="shared" si="1"/>
        <v>-0.7142857142857143</v>
      </c>
    </row>
    <row r="6" spans="1:7">
      <c r="A6" s="14" t="s">
        <v>220</v>
      </c>
      <c r="B6" s="39">
        <f>B21+B22</f>
        <v>2</v>
      </c>
      <c r="C6" s="39">
        <f>C21+C22</f>
        <v>3</v>
      </c>
      <c r="D6" s="54">
        <f>D21+D22</f>
        <v>13</v>
      </c>
      <c r="E6" s="54">
        <f>E21+E22</f>
        <v>16</v>
      </c>
      <c r="F6" s="40">
        <f t="shared" si="0"/>
        <v>-0.33333333333333331</v>
      </c>
      <c r="G6" s="40">
        <f t="shared" si="1"/>
        <v>-0.1875</v>
      </c>
    </row>
    <row r="7" spans="1:7">
      <c r="A7" s="20"/>
      <c r="B7" s="39"/>
      <c r="C7" s="39"/>
      <c r="D7" s="54"/>
      <c r="E7" s="36"/>
      <c r="F7" s="40"/>
      <c r="G7" s="40"/>
    </row>
    <row r="8" spans="1:7">
      <c r="A8" s="1" t="s">
        <v>232</v>
      </c>
      <c r="B8" s="1" t="s">
        <v>0</v>
      </c>
      <c r="C8" s="1" t="s">
        <v>30</v>
      </c>
      <c r="D8" s="1" t="s">
        <v>2</v>
      </c>
      <c r="E8" s="1" t="s">
        <v>3</v>
      </c>
      <c r="F8" s="2" t="s">
        <v>4</v>
      </c>
      <c r="G8" s="2" t="s">
        <v>5</v>
      </c>
    </row>
    <row r="9" spans="1:7">
      <c r="A9" s="14" t="s">
        <v>78</v>
      </c>
      <c r="B9" s="39">
        <f t="shared" ref="B9:E10" si="2">B13+B15+B17+B19+B21</f>
        <v>457</v>
      </c>
      <c r="C9" s="39">
        <f t="shared" si="2"/>
        <v>422</v>
      </c>
      <c r="D9" s="54">
        <f t="shared" si="2"/>
        <v>5101</v>
      </c>
      <c r="E9" s="54">
        <f t="shared" si="2"/>
        <v>4672</v>
      </c>
      <c r="F9" s="40">
        <f t="shared" ref="F9:F22" si="3">(B9-C9)/C9</f>
        <v>8.2938388625592413E-2</v>
      </c>
      <c r="G9" s="40">
        <f t="shared" ref="G9:G22" si="4">(D9-E9)/E9</f>
        <v>9.1823630136986301E-2</v>
      </c>
    </row>
    <row r="10" spans="1:7">
      <c r="A10" s="14" t="s">
        <v>79</v>
      </c>
      <c r="B10" s="39">
        <f t="shared" si="2"/>
        <v>232</v>
      </c>
      <c r="C10" s="39">
        <f t="shared" si="2"/>
        <v>165</v>
      </c>
      <c r="D10" s="54">
        <f t="shared" si="2"/>
        <v>2218</v>
      </c>
      <c r="E10" s="54">
        <f t="shared" si="2"/>
        <v>1933</v>
      </c>
      <c r="F10" s="40">
        <f t="shared" si="3"/>
        <v>0.40606060606060607</v>
      </c>
      <c r="G10" s="40">
        <f t="shared" si="4"/>
        <v>0.14743921365752716</v>
      </c>
    </row>
    <row r="11" spans="1:7">
      <c r="A11" s="20"/>
      <c r="B11" s="8"/>
      <c r="C11" s="39"/>
      <c r="D11" s="54"/>
      <c r="E11" s="36"/>
      <c r="F11" s="40"/>
      <c r="G11" s="40"/>
    </row>
    <row r="12" spans="1:7">
      <c r="A12" s="1" t="s">
        <v>233</v>
      </c>
      <c r="B12" s="1" t="s">
        <v>0</v>
      </c>
      <c r="C12" s="1" t="s">
        <v>30</v>
      </c>
      <c r="D12" s="1" t="s">
        <v>2</v>
      </c>
      <c r="E12" s="1" t="s">
        <v>3</v>
      </c>
      <c r="F12" s="2" t="s">
        <v>4</v>
      </c>
      <c r="G12" s="2" t="s">
        <v>5</v>
      </c>
    </row>
    <row r="13" spans="1:7">
      <c r="A13" s="14" t="s">
        <v>80</v>
      </c>
      <c r="B13" s="39">
        <f>[1]Sheet1!$C$50+[1]Sheet1!$C$112</f>
        <v>238</v>
      </c>
      <c r="C13" s="39">
        <f>[2]Sheet1!$C$76+[2]Sheet1!$C$117</f>
        <v>232</v>
      </c>
      <c r="D13" s="39">
        <f>[3]Sheet1!$C$21+[3]Sheet1!$C$161+[3]Sheet1!$C$210</f>
        <v>2572</v>
      </c>
      <c r="E13" s="54">
        <f>[4]Sheet1!$C$99+[4]Sheet1!$C$210</f>
        <v>2399</v>
      </c>
      <c r="F13" s="40">
        <f t="shared" si="3"/>
        <v>2.5862068965517241E-2</v>
      </c>
      <c r="G13" s="40">
        <f t="shared" si="4"/>
        <v>7.211338057523968E-2</v>
      </c>
    </row>
    <row r="14" spans="1:7">
      <c r="A14" s="14" t="s">
        <v>81</v>
      </c>
      <c r="B14" s="39">
        <f>[1]Sheet1!$C$161+[1]Sheet1!$C$197</f>
        <v>152</v>
      </c>
      <c r="C14" s="39">
        <f>[2]Sheet1!$C$193+[2]Sheet1!$C$180</f>
        <v>99</v>
      </c>
      <c r="D14" s="39">
        <f>[3]Sheet1!$C$259+[3]Sheet1!$C$308</f>
        <v>1295</v>
      </c>
      <c r="E14" s="54">
        <f>[4]Sheet1!$C$246+[4]Sheet1!$C$335</f>
        <v>1227</v>
      </c>
      <c r="F14" s="40">
        <f t="shared" si="3"/>
        <v>0.53535353535353536</v>
      </c>
      <c r="G14" s="40">
        <f t="shared" si="4"/>
        <v>5.5419722901385492E-2</v>
      </c>
    </row>
    <row r="15" spans="1:7">
      <c r="A15" s="14" t="s">
        <v>82</v>
      </c>
      <c r="B15" s="39">
        <f>[1]Sheet1!$C$22+[1]Sheet1!$C$99</f>
        <v>195</v>
      </c>
      <c r="C15" s="39">
        <f>[2]Sheet1!$C$21+[2]Sheet1!$C$131</f>
        <v>176</v>
      </c>
      <c r="D15" s="39">
        <f>[3]Sheet1!$C$64+[3]Sheet1!$C$77</f>
        <v>2316</v>
      </c>
      <c r="E15" s="54">
        <f>[4]Sheet1!$C$50+[4]Sheet1!$C$148</f>
        <v>2072</v>
      </c>
      <c r="F15" s="40">
        <f t="shared" si="3"/>
        <v>0.10795454545454546</v>
      </c>
      <c r="G15" s="40">
        <f t="shared" si="4"/>
        <v>0.11776061776061776</v>
      </c>
    </row>
    <row r="16" spans="1:7">
      <c r="A16" s="14" t="s">
        <v>83</v>
      </c>
      <c r="B16" s="39">
        <f>[1]Sheet1!$C$174+[1]Sheet1!$C$223</f>
        <v>75</v>
      </c>
      <c r="C16" s="39">
        <f>[2]Sheet1!$C$145+[2]Sheet1!$C$206</f>
        <v>65</v>
      </c>
      <c r="D16" s="39">
        <f>[3]Sheet1!$C$295+[3]Sheet1!$C$357</f>
        <v>890</v>
      </c>
      <c r="E16" s="54">
        <f>[4]Sheet1!$C$273+[4]Sheet1!$C$299</f>
        <v>679</v>
      </c>
      <c r="F16" s="40">
        <f t="shared" si="3"/>
        <v>0.15384615384615385</v>
      </c>
      <c r="G16" s="40">
        <f t="shared" si="4"/>
        <v>0.31075110456553756</v>
      </c>
    </row>
    <row r="17" spans="1:7">
      <c r="A17" s="14" t="s">
        <v>181</v>
      </c>
      <c r="B17" s="55">
        <f>[1]Sheet1!$C$76</f>
        <v>22</v>
      </c>
      <c r="C17" s="39">
        <f>[2]Sheet1!$C$35+[2]Sheet1!$C$50+[2]Sheet1!$C$91</f>
        <v>12</v>
      </c>
      <c r="D17" s="39">
        <f>[3]Sheet1!$C$99+[3]Sheet1!$C$112+[3]Sheet1!$C$174</f>
        <v>201</v>
      </c>
      <c r="E17" s="54">
        <f>[4]Sheet1!$C$21+[4]Sheet1!$C$63+[4]Sheet1!$C$112+[4]Sheet1!$C$161</f>
        <v>184</v>
      </c>
      <c r="F17" s="40">
        <f t="shared" si="3"/>
        <v>0.83333333333333337</v>
      </c>
      <c r="G17" s="40">
        <f t="shared" si="4"/>
        <v>9.2391304347826081E-2</v>
      </c>
    </row>
    <row r="18" spans="1:7">
      <c r="A18" s="14" t="s">
        <v>182</v>
      </c>
      <c r="B18" s="39">
        <f>[1]Sheet1!$C$148+[1]Sheet1!$C$210</f>
        <v>5</v>
      </c>
      <c r="C18" s="39">
        <f>0</f>
        <v>0</v>
      </c>
      <c r="D18" s="39">
        <f>[3]Sheet1!$C$246+[3]Sheet1!$C$272+[3]Sheet1!$C$321</f>
        <v>30</v>
      </c>
      <c r="E18" s="54">
        <f>[4]Sheet1!$C$224+[4]Sheet1!$C$260+[4]Sheet1!$C$348</f>
        <v>21</v>
      </c>
      <c r="F18" s="40" t="e">
        <f t="shared" si="3"/>
        <v>#DIV/0!</v>
      </c>
      <c r="G18" s="40">
        <f t="shared" si="4"/>
        <v>0.42857142857142855</v>
      </c>
    </row>
    <row r="19" spans="1:7">
      <c r="A19" s="14" t="s">
        <v>86</v>
      </c>
      <c r="B19" s="8">
        <v>0</v>
      </c>
      <c r="C19" s="8">
        <f>0</f>
        <v>0</v>
      </c>
      <c r="D19" s="39">
        <f>[3]Sheet1!$C$148</f>
        <v>2</v>
      </c>
      <c r="E19" s="54">
        <f>[4]Sheet1!$C$197</f>
        <v>5</v>
      </c>
      <c r="F19" s="40" t="e">
        <f t="shared" si="3"/>
        <v>#DIV/0!</v>
      </c>
      <c r="G19" s="40">
        <f t="shared" si="4"/>
        <v>-0.6</v>
      </c>
    </row>
    <row r="20" spans="1:7">
      <c r="A20" s="14" t="s">
        <v>87</v>
      </c>
      <c r="B20" s="8">
        <v>0</v>
      </c>
      <c r="C20" s="8">
        <f>0</f>
        <v>0</v>
      </c>
      <c r="D20" s="8">
        <v>0</v>
      </c>
      <c r="E20" s="54">
        <f>[4]Sheet1!$C$322</f>
        <v>2</v>
      </c>
      <c r="F20" s="40" t="e">
        <f t="shared" si="3"/>
        <v>#DIV/0!</v>
      </c>
      <c r="G20" s="40">
        <f t="shared" si="4"/>
        <v>-1</v>
      </c>
    </row>
    <row r="21" spans="1:7">
      <c r="A21" s="14" t="s">
        <v>221</v>
      </c>
      <c r="B21" s="39">
        <f>[1]Sheet1!$C$35+[1]Sheet1!$C$63</f>
        <v>2</v>
      </c>
      <c r="C21" s="39">
        <f>[2]Sheet1!$C$63</f>
        <v>2</v>
      </c>
      <c r="D21" s="39">
        <f>[3]Sheet1!$C$125+[3]Sheet1!$C$197+[3]Sheet1!$C$223</f>
        <v>10</v>
      </c>
      <c r="E21" s="54">
        <f>[4]Sheet1!$C$76+[4]Sheet1!$C$125+[4]Sheet1!$C$174</f>
        <v>12</v>
      </c>
      <c r="F21" s="40">
        <f t="shared" si="3"/>
        <v>0</v>
      </c>
      <c r="G21" s="40">
        <f t="shared" si="4"/>
        <v>-0.16666666666666666</v>
      </c>
    </row>
    <row r="22" spans="1:7">
      <c r="A22" s="14" t="s">
        <v>222</v>
      </c>
      <c r="B22" s="39">
        <f>0</f>
        <v>0</v>
      </c>
      <c r="C22" s="39">
        <f>[2]Sheet1!$C$219</f>
        <v>1</v>
      </c>
      <c r="D22" s="39">
        <f>[3]Sheet1!$C$344</f>
        <v>3</v>
      </c>
      <c r="E22" s="54">
        <f>[4]Sheet1!$C$286+[4]Sheet1!$C$371</f>
        <v>4</v>
      </c>
      <c r="F22" s="40">
        <f t="shared" si="3"/>
        <v>-1</v>
      </c>
      <c r="G22" s="40">
        <f t="shared" si="4"/>
        <v>-0.25</v>
      </c>
    </row>
    <row r="23" spans="1:7">
      <c r="B23" s="56"/>
      <c r="C23" s="56"/>
      <c r="D23" s="56"/>
      <c r="E23" s="56"/>
    </row>
    <row r="24" spans="1:7">
      <c r="B24" s="56"/>
      <c r="C24" s="56"/>
      <c r="D24" s="56"/>
      <c r="E24" s="56"/>
    </row>
    <row r="25" spans="1:7">
      <c r="B25" s="56"/>
      <c r="C25" s="56"/>
      <c r="D25" s="56"/>
      <c r="E25" s="56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opLeftCell="A3" workbookViewId="0">
      <selection activeCell="A25" sqref="A25:B35"/>
    </sheetView>
  </sheetViews>
  <sheetFormatPr defaultRowHeight="12.75"/>
  <cols>
    <col min="1" max="1" width="29.28515625" style="19" customWidth="1"/>
    <col min="2" max="2" width="10.85546875" style="19" bestFit="1" customWidth="1"/>
    <col min="3" max="3" width="20.140625" style="19" bestFit="1" customWidth="1"/>
    <col min="4" max="4" width="6" style="19" bestFit="1" customWidth="1"/>
    <col min="5" max="5" width="8.85546875" style="19" bestFit="1" customWidth="1"/>
    <col min="6" max="6" width="24.28515625" style="19" bestFit="1" customWidth="1"/>
    <col min="7" max="7" width="12.140625" style="19" bestFit="1" customWidth="1"/>
    <col min="8" max="16384" width="9.140625" style="19"/>
  </cols>
  <sheetData>
    <row r="1" spans="1:7">
      <c r="A1" s="2" t="s">
        <v>238</v>
      </c>
      <c r="B1" s="1" t="s">
        <v>0</v>
      </c>
      <c r="C1" s="1" t="s">
        <v>30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5" t="s">
        <v>196</v>
      </c>
      <c r="B2" s="22">
        <v>818</v>
      </c>
      <c r="C2" s="8"/>
      <c r="D2" s="8"/>
      <c r="E2" s="8"/>
      <c r="F2" s="8"/>
      <c r="G2" s="8"/>
    </row>
    <row r="3" spans="1:7">
      <c r="A3" s="15" t="s">
        <v>197</v>
      </c>
      <c r="B3" s="22">
        <v>2967</v>
      </c>
      <c r="C3" s="8"/>
      <c r="D3" s="8"/>
      <c r="E3" s="8"/>
      <c r="F3" s="8"/>
      <c r="G3" s="8"/>
    </row>
    <row r="4" spans="1:7">
      <c r="A4" s="15" t="s">
        <v>198</v>
      </c>
      <c r="B4" s="22">
        <v>14208</v>
      </c>
      <c r="C4" s="8"/>
      <c r="D4" s="8"/>
      <c r="E4" s="8"/>
      <c r="F4" s="8"/>
      <c r="G4" s="8"/>
    </row>
    <row r="5" spans="1:7">
      <c r="A5" s="2"/>
      <c r="B5" s="22"/>
      <c r="C5" s="8"/>
      <c r="D5" s="8"/>
      <c r="E5" s="8"/>
      <c r="F5" s="8"/>
      <c r="G5" s="8"/>
    </row>
    <row r="6" spans="1:7">
      <c r="A6" s="2" t="s">
        <v>102</v>
      </c>
      <c r="B6" s="22">
        <f>SUM(B2:B4)</f>
        <v>17993</v>
      </c>
      <c r="C6" s="8"/>
      <c r="D6" s="8"/>
      <c r="E6" s="8"/>
      <c r="F6" s="8"/>
      <c r="G6" s="8"/>
    </row>
    <row r="7" spans="1:7">
      <c r="A7" s="20"/>
      <c r="B7" s="35"/>
      <c r="C7" s="20"/>
      <c r="D7" s="20"/>
      <c r="E7" s="20"/>
      <c r="F7" s="20"/>
      <c r="G7" s="20"/>
    </row>
    <row r="8" spans="1:7">
      <c r="A8" s="2" t="s">
        <v>239</v>
      </c>
      <c r="B8" s="1" t="s">
        <v>0</v>
      </c>
      <c r="C8" s="1" t="s">
        <v>30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>
      <c r="A9" s="15" t="s">
        <v>199</v>
      </c>
      <c r="B9" s="35">
        <v>5454</v>
      </c>
      <c r="C9" s="36"/>
      <c r="D9" s="36"/>
      <c r="E9" s="36"/>
      <c r="F9" s="36"/>
      <c r="G9" s="36"/>
    </row>
    <row r="10" spans="1:7">
      <c r="A10" s="15" t="s">
        <v>200</v>
      </c>
      <c r="B10" s="35">
        <v>1030</v>
      </c>
      <c r="C10" s="20"/>
      <c r="D10" s="20"/>
      <c r="E10" s="20"/>
      <c r="F10" s="20"/>
      <c r="G10" s="20"/>
    </row>
    <row r="11" spans="1:7">
      <c r="A11" s="15" t="s">
        <v>201</v>
      </c>
      <c r="B11" s="35">
        <v>210</v>
      </c>
      <c r="C11" s="36"/>
      <c r="D11" s="36"/>
      <c r="E11" s="36"/>
      <c r="F11" s="36"/>
      <c r="G11" s="36"/>
    </row>
    <row r="12" spans="1:7">
      <c r="A12" s="15" t="s">
        <v>202</v>
      </c>
      <c r="B12" s="35">
        <v>78</v>
      </c>
      <c r="C12" s="36"/>
      <c r="D12" s="36"/>
      <c r="E12" s="36"/>
      <c r="F12" s="36"/>
      <c r="G12" s="36"/>
    </row>
    <row r="13" spans="1:7">
      <c r="A13" s="15" t="s">
        <v>203</v>
      </c>
      <c r="B13" s="35">
        <v>54</v>
      </c>
      <c r="C13" s="36"/>
      <c r="D13" s="36"/>
      <c r="E13" s="36"/>
      <c r="F13" s="36"/>
      <c r="G13" s="36"/>
    </row>
    <row r="14" spans="1:7">
      <c r="A14" s="15" t="s">
        <v>204</v>
      </c>
      <c r="B14" s="35">
        <v>68</v>
      </c>
      <c r="C14" s="20"/>
      <c r="D14" s="20"/>
      <c r="E14" s="20"/>
      <c r="F14" s="20"/>
      <c r="G14" s="20"/>
    </row>
    <row r="15" spans="1:7">
      <c r="A15" s="15" t="s">
        <v>205</v>
      </c>
      <c r="B15" s="22">
        <v>206</v>
      </c>
      <c r="C15" s="8"/>
      <c r="D15" s="8"/>
      <c r="E15" s="8"/>
      <c r="F15" s="40"/>
      <c r="G15" s="40"/>
    </row>
    <row r="16" spans="1:7">
      <c r="A16" s="15" t="s">
        <v>206</v>
      </c>
      <c r="B16" s="22">
        <v>290</v>
      </c>
      <c r="C16" s="8"/>
      <c r="D16" s="8"/>
      <c r="E16" s="8"/>
      <c r="F16" s="40"/>
      <c r="G16" s="40"/>
    </row>
    <row r="17" spans="1:7">
      <c r="A17" s="15" t="s">
        <v>207</v>
      </c>
      <c r="B17" s="22">
        <v>0</v>
      </c>
      <c r="C17" s="8"/>
      <c r="D17" s="8"/>
      <c r="E17" s="8"/>
      <c r="F17" s="40"/>
      <c r="G17" s="40"/>
    </row>
    <row r="18" spans="1:7">
      <c r="A18" s="15" t="s">
        <v>208</v>
      </c>
      <c r="B18" s="22">
        <v>1</v>
      </c>
      <c r="C18" s="8"/>
      <c r="D18" s="8"/>
      <c r="E18" s="8"/>
      <c r="F18" s="40"/>
      <c r="G18" s="40"/>
    </row>
    <row r="19" spans="1:7">
      <c r="A19" s="15" t="s">
        <v>209</v>
      </c>
      <c r="B19" s="22">
        <v>18</v>
      </c>
      <c r="C19" s="8"/>
      <c r="D19" s="8"/>
      <c r="E19" s="8"/>
      <c r="F19" s="40"/>
      <c r="G19" s="40"/>
    </row>
    <row r="20" spans="1:7">
      <c r="A20" s="15" t="s">
        <v>210</v>
      </c>
      <c r="B20" s="22">
        <v>76</v>
      </c>
      <c r="C20" s="8"/>
      <c r="D20" s="8"/>
      <c r="E20" s="8"/>
      <c r="F20" s="8"/>
      <c r="G20" s="8"/>
    </row>
    <row r="21" spans="1:7">
      <c r="A21" s="15" t="s">
        <v>211</v>
      </c>
      <c r="B21" s="22">
        <v>205</v>
      </c>
      <c r="C21" s="8"/>
      <c r="D21" s="8"/>
      <c r="E21" s="8"/>
      <c r="F21" s="8"/>
      <c r="G21" s="8"/>
    </row>
    <row r="22" spans="1:7">
      <c r="A22" s="15"/>
      <c r="B22" s="22"/>
      <c r="C22" s="8"/>
      <c r="D22" s="8"/>
      <c r="E22" s="8"/>
      <c r="F22" s="8"/>
      <c r="G22" s="8"/>
    </row>
    <row r="23" spans="1:7">
      <c r="A23" s="2" t="s">
        <v>102</v>
      </c>
      <c r="B23" s="24">
        <f>SUM(B9:B22)</f>
        <v>7690</v>
      </c>
      <c r="C23" s="25"/>
      <c r="D23" s="25"/>
      <c r="E23" s="25"/>
      <c r="F23" s="25"/>
      <c r="G23" s="25"/>
    </row>
    <row r="24" spans="1:7">
      <c r="A24" s="8"/>
      <c r="B24" s="22"/>
      <c r="C24" s="8"/>
      <c r="D24" s="8"/>
      <c r="E24" s="8"/>
      <c r="F24" s="8"/>
      <c r="G24" s="8"/>
    </row>
    <row r="25" spans="1:7">
      <c r="A25" s="2" t="s">
        <v>240</v>
      </c>
      <c r="B25" s="1" t="s">
        <v>0</v>
      </c>
      <c r="C25" s="1" t="s">
        <v>30</v>
      </c>
      <c r="D25" s="1" t="s">
        <v>2</v>
      </c>
      <c r="E25" s="1" t="s">
        <v>3</v>
      </c>
      <c r="F25" s="1" t="s">
        <v>4</v>
      </c>
      <c r="G25" s="1" t="s">
        <v>5</v>
      </c>
    </row>
    <row r="26" spans="1:7">
      <c r="A26" s="15" t="s">
        <v>212</v>
      </c>
      <c r="B26" s="22">
        <v>135</v>
      </c>
      <c r="C26" s="8"/>
      <c r="D26" s="8"/>
      <c r="E26" s="8"/>
      <c r="F26" s="8"/>
      <c r="G26" s="8"/>
    </row>
    <row r="27" spans="1:7">
      <c r="A27" s="15" t="s">
        <v>213</v>
      </c>
      <c r="B27" s="22">
        <v>148</v>
      </c>
      <c r="C27" s="8"/>
      <c r="D27" s="8"/>
      <c r="E27" s="8"/>
      <c r="F27" s="8"/>
      <c r="G27" s="8"/>
    </row>
    <row r="28" spans="1:7">
      <c r="A28" s="15" t="s">
        <v>214</v>
      </c>
      <c r="B28" s="22">
        <v>163</v>
      </c>
      <c r="C28" s="8"/>
      <c r="D28" s="8"/>
      <c r="E28" s="8"/>
      <c r="F28" s="8"/>
      <c r="G28" s="8"/>
    </row>
    <row r="29" spans="1:7">
      <c r="A29" s="15" t="s">
        <v>215</v>
      </c>
      <c r="B29" s="22">
        <v>72</v>
      </c>
      <c r="C29" s="8"/>
      <c r="D29" s="8"/>
      <c r="E29" s="8"/>
      <c r="F29" s="8"/>
      <c r="G29" s="8"/>
    </row>
    <row r="30" spans="1:7">
      <c r="A30" s="15" t="s">
        <v>216</v>
      </c>
      <c r="B30" s="22">
        <v>120</v>
      </c>
      <c r="C30" s="8"/>
      <c r="D30" s="8"/>
      <c r="E30" s="8"/>
      <c r="F30" s="8"/>
      <c r="G30" s="8"/>
    </row>
    <row r="31" spans="1:7">
      <c r="A31" s="15" t="s">
        <v>217</v>
      </c>
      <c r="B31" s="22">
        <v>11</v>
      </c>
      <c r="C31" s="8"/>
      <c r="D31" s="8"/>
      <c r="E31" s="8"/>
      <c r="F31" s="8"/>
      <c r="G31" s="8"/>
    </row>
    <row r="32" spans="1:7">
      <c r="A32" s="15" t="s">
        <v>218</v>
      </c>
      <c r="B32" s="22">
        <v>150</v>
      </c>
      <c r="C32" s="8"/>
      <c r="D32" s="8"/>
      <c r="E32" s="8"/>
      <c r="F32" s="8"/>
      <c r="G32" s="8"/>
    </row>
    <row r="33" spans="1:7">
      <c r="A33" s="15" t="s">
        <v>219</v>
      </c>
      <c r="B33" s="22">
        <v>122</v>
      </c>
      <c r="C33" s="8"/>
      <c r="D33" s="8"/>
      <c r="E33" s="8"/>
      <c r="F33" s="8"/>
      <c r="G33" s="8"/>
    </row>
    <row r="34" spans="1:7">
      <c r="A34" s="71"/>
      <c r="B34" s="22"/>
      <c r="C34" s="8"/>
      <c r="D34" s="8"/>
      <c r="E34" s="8"/>
      <c r="F34" s="8"/>
      <c r="G34" s="8"/>
    </row>
    <row r="35" spans="1:7">
      <c r="A35" s="2" t="s">
        <v>102</v>
      </c>
      <c r="B35" s="24">
        <f>SUM(B26:B34)</f>
        <v>921</v>
      </c>
      <c r="C35" s="25"/>
      <c r="D35" s="25"/>
      <c r="E35" s="25"/>
      <c r="F35" s="25"/>
      <c r="G35" s="25"/>
    </row>
    <row r="36" spans="1:7">
      <c r="B36" s="72"/>
    </row>
    <row r="37" spans="1:7">
      <c r="B37" s="7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sqref="A1:G20"/>
    </sheetView>
  </sheetViews>
  <sheetFormatPr defaultRowHeight="12.75"/>
  <cols>
    <col min="1" max="1" width="25.5703125" style="26" bestFit="1" customWidth="1"/>
    <col min="2" max="2" width="10.85546875" style="19" bestFit="1" customWidth="1"/>
    <col min="3" max="3" width="20.140625" style="19" bestFit="1" customWidth="1"/>
    <col min="4" max="4" width="9.28515625" style="19" customWidth="1"/>
    <col min="5" max="5" width="10.85546875" style="19" customWidth="1"/>
    <col min="6" max="6" width="17.28515625" style="19" bestFit="1" customWidth="1"/>
    <col min="7" max="7" width="12.140625" style="19" bestFit="1" customWidth="1"/>
    <col min="8" max="16384" width="9.140625" style="19"/>
  </cols>
  <sheetData>
    <row r="1" spans="1:7" s="26" customFormat="1">
      <c r="A1" s="2" t="s">
        <v>226</v>
      </c>
      <c r="B1" s="2" t="s">
        <v>0</v>
      </c>
      <c r="C1" s="2" t="s">
        <v>30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>
      <c r="A2" s="15" t="s">
        <v>19</v>
      </c>
      <c r="B2" s="21">
        <v>100</v>
      </c>
      <c r="C2" s="21">
        <v>155</v>
      </c>
      <c r="D2" s="21">
        <v>1139</v>
      </c>
      <c r="E2" s="21">
        <v>1529</v>
      </c>
      <c r="F2" s="74">
        <f>(B2-C2)/C2</f>
        <v>-0.35483870967741937</v>
      </c>
      <c r="G2" s="74">
        <f>(D2-E2)/E2</f>
        <v>-0.25506867233485936</v>
      </c>
    </row>
    <row r="3" spans="1:7">
      <c r="A3" s="15" t="s">
        <v>20</v>
      </c>
      <c r="B3" s="21">
        <v>28</v>
      </c>
      <c r="C3" s="21">
        <v>45</v>
      </c>
      <c r="D3" s="21">
        <v>496</v>
      </c>
      <c r="E3" s="21">
        <v>621</v>
      </c>
      <c r="F3" s="74">
        <f t="shared" ref="F3:F20" si="0">(B3-C3)/C3</f>
        <v>-0.37777777777777777</v>
      </c>
      <c r="G3" s="74">
        <f t="shared" ref="G3:G20" si="1">(D3-E3)/E3</f>
        <v>-0.20128824476650564</v>
      </c>
    </row>
    <row r="4" spans="1:7">
      <c r="A4" s="15" t="s">
        <v>21</v>
      </c>
      <c r="B4" s="21">
        <v>745</v>
      </c>
      <c r="C4" s="21">
        <v>620</v>
      </c>
      <c r="D4" s="21">
        <v>6439</v>
      </c>
      <c r="E4" s="21">
        <v>7042</v>
      </c>
      <c r="F4" s="74">
        <f t="shared" si="0"/>
        <v>0.20161290322580644</v>
      </c>
      <c r="G4" s="74">
        <f t="shared" si="1"/>
        <v>-8.5629082646975288E-2</v>
      </c>
    </row>
    <row r="5" spans="1:7">
      <c r="A5" s="15" t="s">
        <v>15</v>
      </c>
      <c r="B5" s="16">
        <v>25</v>
      </c>
      <c r="C5" s="16">
        <v>24</v>
      </c>
      <c r="D5" s="16">
        <v>266</v>
      </c>
      <c r="E5" s="16">
        <v>361</v>
      </c>
      <c r="F5" s="75">
        <f t="shared" si="0"/>
        <v>4.1666666666666664E-2</v>
      </c>
      <c r="G5" s="74">
        <f t="shared" si="1"/>
        <v>-0.26315789473684209</v>
      </c>
    </row>
    <row r="6" spans="1:7">
      <c r="A6" s="15" t="s">
        <v>22</v>
      </c>
      <c r="B6" s="16">
        <v>1181</v>
      </c>
      <c r="C6" s="16">
        <v>1508</v>
      </c>
      <c r="D6" s="16">
        <v>16361</v>
      </c>
      <c r="E6" s="16">
        <v>15285</v>
      </c>
      <c r="F6" s="74">
        <f t="shared" si="0"/>
        <v>-0.21684350132625996</v>
      </c>
      <c r="G6" s="74">
        <f t="shared" si="1"/>
        <v>7.039581288845273E-2</v>
      </c>
    </row>
    <row r="7" spans="1:7">
      <c r="A7" s="15" t="s">
        <v>23</v>
      </c>
      <c r="B7" s="16">
        <v>119</v>
      </c>
      <c r="C7" s="16">
        <v>162</v>
      </c>
      <c r="D7" s="16">
        <v>1460</v>
      </c>
      <c r="E7" s="16">
        <v>1574</v>
      </c>
      <c r="F7" s="74">
        <f t="shared" si="0"/>
        <v>-0.26543209876543211</v>
      </c>
      <c r="G7" s="74">
        <f t="shared" si="1"/>
        <v>-7.2426937738246502E-2</v>
      </c>
    </row>
    <row r="8" spans="1:7">
      <c r="A8" s="15" t="s">
        <v>32</v>
      </c>
      <c r="B8" s="21"/>
      <c r="C8" s="21"/>
      <c r="D8" s="21"/>
      <c r="E8" s="21"/>
      <c r="F8" s="74"/>
      <c r="G8" s="74"/>
    </row>
    <row r="9" spans="1:7">
      <c r="A9" s="15" t="s">
        <v>31</v>
      </c>
      <c r="B9" s="21"/>
      <c r="C9" s="21"/>
      <c r="D9" s="21"/>
      <c r="E9" s="21"/>
      <c r="F9" s="74"/>
      <c r="G9" s="74"/>
    </row>
    <row r="10" spans="1:7">
      <c r="A10" s="15" t="s">
        <v>24</v>
      </c>
      <c r="B10" s="16">
        <v>11</v>
      </c>
      <c r="C10" s="16">
        <v>6</v>
      </c>
      <c r="D10" s="16">
        <v>102</v>
      </c>
      <c r="E10" s="16">
        <v>156</v>
      </c>
      <c r="F10" s="74">
        <f t="shared" si="0"/>
        <v>0.83333333333333337</v>
      </c>
      <c r="G10" s="74">
        <f t="shared" si="1"/>
        <v>-0.34615384615384615</v>
      </c>
    </row>
    <row r="11" spans="1:7">
      <c r="A11" s="15" t="s">
        <v>25</v>
      </c>
      <c r="B11" s="16">
        <v>5475</v>
      </c>
      <c r="C11" s="16">
        <v>6483</v>
      </c>
      <c r="D11" s="16">
        <v>70973</v>
      </c>
      <c r="E11" s="16">
        <v>74950</v>
      </c>
      <c r="F11" s="74">
        <v>0</v>
      </c>
      <c r="G11" s="74">
        <f t="shared" si="1"/>
        <v>-5.3062041360907274E-2</v>
      </c>
    </row>
    <row r="12" spans="1:7">
      <c r="A12" s="15" t="s">
        <v>26</v>
      </c>
      <c r="B12" s="16">
        <v>186</v>
      </c>
      <c r="C12" s="16">
        <v>199</v>
      </c>
      <c r="D12" s="16">
        <v>2501</v>
      </c>
      <c r="E12" s="16">
        <v>2847</v>
      </c>
      <c r="F12" s="74">
        <f t="shared" si="0"/>
        <v>-6.5326633165829151E-2</v>
      </c>
      <c r="G12" s="74">
        <f t="shared" si="1"/>
        <v>-0.12153143659992975</v>
      </c>
    </row>
    <row r="13" spans="1:7">
      <c r="A13" s="15" t="s">
        <v>27</v>
      </c>
      <c r="B13" s="16">
        <v>1</v>
      </c>
      <c r="C13" s="16">
        <v>1</v>
      </c>
      <c r="D13" s="16">
        <v>36</v>
      </c>
      <c r="E13" s="16">
        <v>22</v>
      </c>
      <c r="F13" s="74"/>
      <c r="G13" s="74">
        <f t="shared" si="1"/>
        <v>0.63636363636363635</v>
      </c>
    </row>
    <row r="14" spans="1:7">
      <c r="A14" s="15" t="s">
        <v>28</v>
      </c>
      <c r="B14" s="16">
        <v>537</v>
      </c>
      <c r="C14" s="16">
        <v>286</v>
      </c>
      <c r="D14" s="16">
        <v>5090</v>
      </c>
      <c r="E14" s="16">
        <v>4517</v>
      </c>
      <c r="F14" s="74">
        <f t="shared" si="0"/>
        <v>0.8776223776223776</v>
      </c>
      <c r="G14" s="74">
        <f t="shared" si="1"/>
        <v>0.12685410670799202</v>
      </c>
    </row>
    <row r="15" spans="1:7">
      <c r="A15" s="2"/>
      <c r="B15" s="16"/>
      <c r="C15" s="16"/>
      <c r="D15" s="16"/>
      <c r="E15" s="16"/>
      <c r="F15" s="74"/>
      <c r="G15" s="74"/>
    </row>
    <row r="16" spans="1:7">
      <c r="A16" s="1" t="s">
        <v>102</v>
      </c>
      <c r="B16" s="20">
        <f>SUM(B2:B14)</f>
        <v>8408</v>
      </c>
      <c r="C16" s="20">
        <f t="shared" ref="C16:E16" si="2">SUM(C2:C14)</f>
        <v>9489</v>
      </c>
      <c r="D16" s="20">
        <f t="shared" si="2"/>
        <v>104863</v>
      </c>
      <c r="E16" s="20">
        <f t="shared" si="2"/>
        <v>108904</v>
      </c>
      <c r="F16" s="31">
        <f t="shared" si="0"/>
        <v>-0.1139213826535989</v>
      </c>
      <c r="G16" s="31">
        <f t="shared" si="1"/>
        <v>-3.7106075075295675E-2</v>
      </c>
    </row>
    <row r="17" spans="1:7">
      <c r="A17" s="20"/>
      <c r="B17" s="20"/>
      <c r="C17" s="20"/>
      <c r="D17" s="20"/>
      <c r="E17" s="20"/>
      <c r="F17" s="31"/>
      <c r="G17" s="31"/>
    </row>
    <row r="18" spans="1:7">
      <c r="A18" s="14" t="s">
        <v>29</v>
      </c>
      <c r="B18" s="16">
        <v>52004.5</v>
      </c>
      <c r="C18" s="16">
        <v>53344</v>
      </c>
      <c r="D18" s="16">
        <v>655242.5</v>
      </c>
      <c r="E18" s="16">
        <v>362142.5</v>
      </c>
      <c r="F18" s="74">
        <f t="shared" ref="F18" si="3">(B18-C18)/C18</f>
        <v>-2.5110602879424116E-2</v>
      </c>
      <c r="G18" s="74">
        <f t="shared" ref="G18" si="4">(D18-E18)/E18</f>
        <v>0.80934991060148975</v>
      </c>
    </row>
    <row r="19" spans="1:7">
      <c r="A19" s="16"/>
      <c r="B19" s="16"/>
      <c r="C19" s="16"/>
      <c r="D19" s="16"/>
      <c r="E19" s="16"/>
      <c r="F19" s="74"/>
      <c r="G19" s="74"/>
    </row>
    <row r="20" spans="1:7">
      <c r="A20" s="14" t="s">
        <v>142</v>
      </c>
      <c r="B20" s="16">
        <v>7923.5</v>
      </c>
      <c r="C20" s="16">
        <v>6995.42</v>
      </c>
      <c r="D20" s="16">
        <v>115521.5</v>
      </c>
      <c r="E20" s="16">
        <v>100409.46</v>
      </c>
      <c r="F20" s="74">
        <f t="shared" si="0"/>
        <v>0.13266966100677299</v>
      </c>
      <c r="G20" s="74">
        <f t="shared" si="1"/>
        <v>0.15050414572491469</v>
      </c>
    </row>
    <row r="21" spans="1:7" s="26" customFormat="1">
      <c r="A21" s="32"/>
      <c r="B21" s="32"/>
      <c r="C21" s="32"/>
      <c r="D21" s="32"/>
      <c r="E21" s="32"/>
      <c r="F21" s="32"/>
      <c r="G21" s="32"/>
    </row>
    <row r="22" spans="1:7">
      <c r="A22" s="32"/>
      <c r="B22" s="33"/>
      <c r="C22" s="33"/>
      <c r="D22" s="33"/>
      <c r="E22" s="33"/>
      <c r="F22" s="33"/>
      <c r="G22" s="33"/>
    </row>
    <row r="23" spans="1:7">
      <c r="A23" s="32"/>
      <c r="B23" s="33"/>
      <c r="C23" s="33"/>
      <c r="D23" s="33"/>
      <c r="E23" s="33"/>
      <c r="F23" s="33"/>
      <c r="G23" s="33"/>
    </row>
    <row r="24" spans="1:7">
      <c r="A24" s="32"/>
      <c r="B24" s="33"/>
      <c r="C24" s="33"/>
      <c r="D24" s="33"/>
      <c r="E24" s="33"/>
      <c r="F24" s="33"/>
      <c r="G24" s="33"/>
    </row>
    <row r="25" spans="1:7">
      <c r="A25" s="32"/>
      <c r="B25" s="33"/>
      <c r="C25" s="33"/>
      <c r="D25" s="33"/>
      <c r="E25" s="33"/>
      <c r="F25" s="33"/>
      <c r="G25" s="33"/>
    </row>
    <row r="26" spans="1:7">
      <c r="A26" s="32"/>
      <c r="B26" s="33"/>
      <c r="C26" s="33"/>
      <c r="D26" s="33"/>
      <c r="E26" s="33"/>
      <c r="F26" s="33"/>
      <c r="G26" s="33"/>
    </row>
    <row r="27" spans="1:7">
      <c r="A27" s="32"/>
      <c r="B27" s="33"/>
      <c r="C27" s="33"/>
      <c r="D27" s="33"/>
      <c r="E27" s="33"/>
      <c r="F27" s="33"/>
      <c r="G27" s="33"/>
    </row>
    <row r="28" spans="1:7">
      <c r="A28" s="32"/>
      <c r="B28" s="33"/>
      <c r="C28" s="33"/>
      <c r="D28" s="33"/>
      <c r="E28" s="33"/>
      <c r="F28" s="33"/>
      <c r="G28" s="33"/>
    </row>
    <row r="29" spans="1:7">
      <c r="A29" s="32"/>
      <c r="B29" s="33"/>
      <c r="C29" s="33"/>
      <c r="D29" s="33"/>
      <c r="E29" s="33"/>
      <c r="F29" s="33"/>
      <c r="G29" s="33"/>
    </row>
    <row r="30" spans="1:7">
      <c r="A30" s="32"/>
      <c r="B30" s="33"/>
      <c r="C30" s="33"/>
      <c r="D30" s="33"/>
      <c r="E30" s="33"/>
      <c r="F30" s="33"/>
      <c r="G30" s="33"/>
    </row>
    <row r="31" spans="1:7">
      <c r="A31" s="32"/>
      <c r="B31" s="33"/>
      <c r="C31" s="33"/>
      <c r="D31" s="33"/>
      <c r="E31" s="33"/>
      <c r="F31" s="33"/>
      <c r="G31" s="33"/>
    </row>
    <row r="32" spans="1:7">
      <c r="A32" s="32"/>
      <c r="B32" s="33"/>
      <c r="C32" s="33"/>
      <c r="D32" s="33"/>
      <c r="E32" s="33"/>
      <c r="F32" s="33"/>
      <c r="G32" s="33"/>
    </row>
    <row r="33" spans="1:7">
      <c r="A33" s="32"/>
      <c r="B33" s="33"/>
      <c r="C33" s="33"/>
      <c r="D33" s="33"/>
      <c r="E33" s="33"/>
      <c r="F33" s="33"/>
      <c r="G33" s="33"/>
    </row>
    <row r="34" spans="1:7">
      <c r="A34" s="32"/>
      <c r="B34" s="33"/>
      <c r="C34" s="33"/>
      <c r="D34" s="33"/>
      <c r="E34" s="33"/>
      <c r="F34" s="33"/>
      <c r="G34" s="33"/>
    </row>
    <row r="35" spans="1:7">
      <c r="A35" s="32"/>
      <c r="B35" s="33"/>
      <c r="C35" s="33"/>
      <c r="D35" s="33"/>
      <c r="E35" s="33"/>
      <c r="F35" s="33"/>
      <c r="G35" s="33"/>
    </row>
    <row r="36" spans="1:7">
      <c r="A36" s="32"/>
      <c r="B36" s="33"/>
      <c r="C36" s="33"/>
      <c r="D36" s="33"/>
      <c r="E36" s="33"/>
      <c r="F36" s="33"/>
      <c r="G36" s="33"/>
    </row>
    <row r="37" spans="1:7">
      <c r="A37" s="32"/>
      <c r="B37" s="33"/>
      <c r="C37" s="33"/>
      <c r="D37" s="33"/>
      <c r="E37" s="33"/>
      <c r="F37" s="33"/>
      <c r="G37" s="33"/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G21"/>
    </sheetView>
  </sheetViews>
  <sheetFormatPr defaultRowHeight="12.75"/>
  <cols>
    <col min="1" max="1" width="25" style="19" bestFit="1" customWidth="1"/>
    <col min="2" max="2" width="11" style="19" bestFit="1" customWidth="1"/>
    <col min="3" max="3" width="20.28515625" style="19" bestFit="1" customWidth="1"/>
    <col min="4" max="4" width="8.5703125" style="19" bestFit="1" customWidth="1"/>
    <col min="5" max="5" width="9" style="19" bestFit="1" customWidth="1"/>
    <col min="6" max="6" width="17.28515625" style="19" bestFit="1" customWidth="1"/>
    <col min="7" max="7" width="12.140625" style="19" bestFit="1" customWidth="1"/>
    <col min="8" max="16384" width="9.140625" style="19"/>
  </cols>
  <sheetData>
    <row r="1" spans="1:7">
      <c r="A1" s="1" t="s">
        <v>226</v>
      </c>
      <c r="B1" s="2" t="s">
        <v>0</v>
      </c>
      <c r="C1" s="2" t="s">
        <v>30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>
      <c r="A2" s="15" t="s">
        <v>19</v>
      </c>
      <c r="B2" s="8">
        <v>0</v>
      </c>
      <c r="C2" s="8">
        <v>0</v>
      </c>
      <c r="D2" s="8">
        <v>1</v>
      </c>
      <c r="E2" s="8">
        <v>0</v>
      </c>
      <c r="F2" s="6">
        <v>0</v>
      </c>
      <c r="G2" s="6">
        <v>0</v>
      </c>
    </row>
    <row r="3" spans="1:7">
      <c r="A3" s="15" t="s">
        <v>20</v>
      </c>
      <c r="B3" s="8">
        <v>0</v>
      </c>
      <c r="C3" s="8">
        <v>0</v>
      </c>
      <c r="D3" s="8">
        <v>0</v>
      </c>
      <c r="E3" s="8">
        <v>0</v>
      </c>
      <c r="F3" s="6">
        <v>0</v>
      </c>
      <c r="G3" s="6">
        <v>0</v>
      </c>
    </row>
    <row r="4" spans="1:7">
      <c r="A4" s="15" t="s">
        <v>21</v>
      </c>
      <c r="B4" s="8">
        <v>14</v>
      </c>
      <c r="C4" s="8">
        <v>19</v>
      </c>
      <c r="D4" s="8">
        <v>227</v>
      </c>
      <c r="E4" s="8">
        <v>151</v>
      </c>
      <c r="F4" s="6">
        <f t="shared" ref="F4:F21" si="0">(B4-C4)/C4</f>
        <v>-0.26315789473684209</v>
      </c>
      <c r="G4" s="6">
        <f t="shared" ref="G4:G21" si="1">(D4-E4)/E4</f>
        <v>0.50331125827814571</v>
      </c>
    </row>
    <row r="5" spans="1:7">
      <c r="A5" s="15" t="s">
        <v>15</v>
      </c>
      <c r="B5" s="8">
        <v>0</v>
      </c>
      <c r="C5" s="8">
        <v>0</v>
      </c>
      <c r="D5" s="8">
        <v>1</v>
      </c>
      <c r="E5" s="8">
        <v>0</v>
      </c>
      <c r="F5" s="6">
        <v>0</v>
      </c>
      <c r="G5" s="6">
        <v>0</v>
      </c>
    </row>
    <row r="6" spans="1:7">
      <c r="A6" s="15" t="s">
        <v>22</v>
      </c>
      <c r="B6" s="8">
        <v>50</v>
      </c>
      <c r="C6" s="8">
        <v>30</v>
      </c>
      <c r="D6" s="8">
        <v>1108</v>
      </c>
      <c r="E6" s="8">
        <v>438</v>
      </c>
      <c r="F6" s="6">
        <f t="shared" si="0"/>
        <v>0.66666666666666663</v>
      </c>
      <c r="G6" s="6">
        <f t="shared" si="1"/>
        <v>1.5296803652968036</v>
      </c>
    </row>
    <row r="7" spans="1:7">
      <c r="A7" s="15" t="s">
        <v>23</v>
      </c>
      <c r="B7" s="8">
        <v>30</v>
      </c>
      <c r="C7" s="8">
        <v>11</v>
      </c>
      <c r="D7" s="8">
        <v>417</v>
      </c>
      <c r="E7" s="8">
        <v>195</v>
      </c>
      <c r="F7" s="6">
        <f t="shared" si="0"/>
        <v>1.7272727272727273</v>
      </c>
      <c r="G7" s="6">
        <f t="shared" si="1"/>
        <v>1.1384615384615384</v>
      </c>
    </row>
    <row r="8" spans="1:7">
      <c r="A8" s="15" t="s">
        <v>31</v>
      </c>
      <c r="B8" s="8">
        <v>24</v>
      </c>
      <c r="C8" s="8">
        <v>11</v>
      </c>
      <c r="D8" s="8">
        <v>372</v>
      </c>
      <c r="E8" s="8">
        <v>258</v>
      </c>
      <c r="F8" s="6">
        <f t="shared" si="0"/>
        <v>1.1818181818181819</v>
      </c>
      <c r="G8" s="6">
        <f t="shared" si="1"/>
        <v>0.44186046511627908</v>
      </c>
    </row>
    <row r="9" spans="1:7">
      <c r="A9" s="15" t="s">
        <v>32</v>
      </c>
      <c r="B9" s="8">
        <v>1475</v>
      </c>
      <c r="C9" s="8">
        <v>2000</v>
      </c>
      <c r="D9" s="8">
        <v>97383</v>
      </c>
      <c r="E9" s="8">
        <v>82276</v>
      </c>
      <c r="F9" s="6">
        <v>0</v>
      </c>
      <c r="G9" s="6">
        <f t="shared" si="1"/>
        <v>0.18361369050512907</v>
      </c>
    </row>
    <row r="10" spans="1:7">
      <c r="A10" s="15" t="s">
        <v>24</v>
      </c>
      <c r="B10" s="8">
        <v>0</v>
      </c>
      <c r="C10" s="8">
        <v>0</v>
      </c>
      <c r="D10" s="8">
        <v>0</v>
      </c>
      <c r="E10" s="8">
        <v>0</v>
      </c>
      <c r="F10" s="6">
        <v>0</v>
      </c>
      <c r="G10" s="6">
        <v>0</v>
      </c>
    </row>
    <row r="11" spans="1:7">
      <c r="A11" s="15" t="s">
        <v>25</v>
      </c>
      <c r="B11" s="8">
        <v>58</v>
      </c>
      <c r="C11" s="8">
        <v>62</v>
      </c>
      <c r="D11" s="8">
        <v>757</v>
      </c>
      <c r="E11" s="8">
        <v>429</v>
      </c>
      <c r="F11" s="6">
        <f t="shared" si="0"/>
        <v>-6.4516129032258063E-2</v>
      </c>
      <c r="G11" s="6">
        <f t="shared" si="1"/>
        <v>0.76456876456876455</v>
      </c>
    </row>
    <row r="12" spans="1:7">
      <c r="A12" s="15" t="s">
        <v>26</v>
      </c>
      <c r="B12" s="8">
        <v>0</v>
      </c>
      <c r="C12" s="8">
        <v>0</v>
      </c>
      <c r="D12" s="8">
        <v>0</v>
      </c>
      <c r="E12" s="8">
        <v>0</v>
      </c>
      <c r="F12" s="6">
        <v>0</v>
      </c>
      <c r="G12" s="6">
        <v>0</v>
      </c>
    </row>
    <row r="13" spans="1:7">
      <c r="A13" s="15" t="s">
        <v>27</v>
      </c>
      <c r="B13" s="8">
        <v>0</v>
      </c>
      <c r="C13" s="8">
        <v>0</v>
      </c>
      <c r="D13" s="8">
        <v>0</v>
      </c>
      <c r="E13" s="8">
        <v>0</v>
      </c>
      <c r="F13" s="6">
        <v>0</v>
      </c>
      <c r="G13" s="6">
        <v>0</v>
      </c>
    </row>
    <row r="14" spans="1:7">
      <c r="A14" s="15" t="s">
        <v>28</v>
      </c>
      <c r="B14" s="8">
        <v>8</v>
      </c>
      <c r="C14" s="8">
        <v>30</v>
      </c>
      <c r="D14" s="8">
        <v>207</v>
      </c>
      <c r="E14" s="8">
        <v>178</v>
      </c>
      <c r="F14" s="6">
        <f t="shared" si="0"/>
        <v>-0.73333333333333328</v>
      </c>
      <c r="G14" s="6">
        <f t="shared" si="1"/>
        <v>0.16292134831460675</v>
      </c>
    </row>
    <row r="15" spans="1:7">
      <c r="A15" s="15" t="s">
        <v>228</v>
      </c>
      <c r="B15" s="8">
        <v>0</v>
      </c>
      <c r="C15" s="8">
        <v>0</v>
      </c>
      <c r="D15" s="8">
        <v>0</v>
      </c>
      <c r="E15" s="8">
        <v>0</v>
      </c>
      <c r="F15" s="6"/>
      <c r="G15" s="6"/>
    </row>
    <row r="16" spans="1:7">
      <c r="A16" s="15"/>
      <c r="B16" s="8"/>
      <c r="C16" s="8"/>
      <c r="D16" s="8"/>
      <c r="E16" s="8"/>
      <c r="F16" s="6"/>
      <c r="G16" s="6"/>
    </row>
    <row r="17" spans="1:7">
      <c r="A17" s="2" t="s">
        <v>102</v>
      </c>
      <c r="B17" s="25">
        <f>SUM(B2:B16)</f>
        <v>1659</v>
      </c>
      <c r="C17" s="25">
        <f t="shared" ref="C17:E17" si="2">SUM(C2:C16)</f>
        <v>2163</v>
      </c>
      <c r="D17" s="25">
        <f t="shared" si="2"/>
        <v>100473</v>
      </c>
      <c r="E17" s="25">
        <f t="shared" si="2"/>
        <v>83925</v>
      </c>
      <c r="F17" s="18">
        <f t="shared" si="0"/>
        <v>-0.23300970873786409</v>
      </c>
      <c r="G17" s="18">
        <f t="shared" si="1"/>
        <v>0.19717605004468275</v>
      </c>
    </row>
    <row r="18" spans="1:7">
      <c r="A18" s="20"/>
      <c r="B18" s="8"/>
      <c r="C18" s="8"/>
      <c r="D18" s="8"/>
      <c r="E18" s="8"/>
      <c r="F18" s="6"/>
      <c r="G18" s="6"/>
    </row>
    <row r="19" spans="1:7">
      <c r="A19" s="15" t="s">
        <v>250</v>
      </c>
      <c r="B19" s="23">
        <v>19185</v>
      </c>
      <c r="C19" s="8">
        <v>11800</v>
      </c>
      <c r="D19" s="8">
        <v>173161</v>
      </c>
      <c r="E19" s="8">
        <v>115622</v>
      </c>
      <c r="F19" s="6">
        <f t="shared" si="0"/>
        <v>0.62584745762711869</v>
      </c>
      <c r="G19" s="6">
        <f t="shared" si="1"/>
        <v>0.49764750652989914</v>
      </c>
    </row>
    <row r="20" spans="1:7">
      <c r="A20" s="20"/>
      <c r="B20" s="8"/>
      <c r="C20" s="8"/>
      <c r="D20" s="8"/>
      <c r="E20" s="8"/>
      <c r="F20" s="6"/>
      <c r="G20" s="6"/>
    </row>
    <row r="21" spans="1:7">
      <c r="A21" s="15" t="s">
        <v>29</v>
      </c>
      <c r="B21" s="23">
        <v>4950</v>
      </c>
      <c r="C21" s="8">
        <v>4700</v>
      </c>
      <c r="D21" s="8">
        <v>57835</v>
      </c>
      <c r="E21" s="8">
        <v>46897</v>
      </c>
      <c r="F21" s="6">
        <f t="shared" si="0"/>
        <v>5.3191489361702128E-2</v>
      </c>
      <c r="G21" s="6">
        <f t="shared" si="1"/>
        <v>0.23323453525811885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topLeftCell="A7" workbookViewId="0">
      <selection activeCell="A31" sqref="A31:G39"/>
    </sheetView>
  </sheetViews>
  <sheetFormatPr defaultRowHeight="12.75"/>
  <cols>
    <col min="1" max="1" width="36" style="26" bestFit="1" customWidth="1"/>
    <col min="2" max="2" width="10.85546875" style="19" bestFit="1" customWidth="1"/>
    <col min="3" max="3" width="20.140625" style="19" bestFit="1" customWidth="1"/>
    <col min="4" max="4" width="11.42578125" style="19" customWidth="1"/>
    <col min="5" max="5" width="8.85546875" style="19" bestFit="1" customWidth="1"/>
    <col min="6" max="6" width="17.28515625" style="19" bestFit="1" customWidth="1"/>
    <col min="7" max="7" width="12.140625" style="19" bestFit="1" customWidth="1"/>
    <col min="8" max="16384" width="9.140625" style="19"/>
  </cols>
  <sheetData>
    <row r="1" spans="1:7" s="26" customFormat="1">
      <c r="A1" s="2" t="s">
        <v>227</v>
      </c>
      <c r="B1" s="1" t="s">
        <v>0</v>
      </c>
      <c r="C1" s="1" t="s">
        <v>30</v>
      </c>
      <c r="D1" s="1" t="s">
        <v>2</v>
      </c>
      <c r="E1" s="2" t="s">
        <v>3</v>
      </c>
      <c r="F1" s="2" t="s">
        <v>4</v>
      </c>
      <c r="G1" s="2" t="s">
        <v>5</v>
      </c>
    </row>
    <row r="2" spans="1:7">
      <c r="A2" s="15" t="s">
        <v>97</v>
      </c>
      <c r="B2" s="21">
        <v>82</v>
      </c>
      <c r="C2" s="21">
        <v>110</v>
      </c>
      <c r="D2" s="21">
        <v>949</v>
      </c>
      <c r="E2" s="21">
        <v>1182</v>
      </c>
      <c r="F2" s="37">
        <f>(B2-C2)/C2</f>
        <v>-0.25454545454545452</v>
      </c>
      <c r="G2" s="37">
        <f>(D2-E2)/E2</f>
        <v>-0.19712351945854484</v>
      </c>
    </row>
    <row r="3" spans="1:7">
      <c r="A3" s="15" t="s">
        <v>98</v>
      </c>
      <c r="B3" s="21">
        <v>57</v>
      </c>
      <c r="C3" s="21">
        <v>98</v>
      </c>
      <c r="D3" s="21">
        <v>777</v>
      </c>
      <c r="E3" s="21">
        <v>989</v>
      </c>
      <c r="F3" s="37">
        <f t="shared" ref="F3:F9" si="0">(B3-C3)/C3</f>
        <v>-0.41836734693877553</v>
      </c>
      <c r="G3" s="37">
        <f t="shared" ref="G3:G9" si="1">(D3-E3)/E3</f>
        <v>-0.21435793731041455</v>
      </c>
    </row>
    <row r="4" spans="1:7">
      <c r="A4" s="15" t="s">
        <v>99</v>
      </c>
      <c r="B4" s="21">
        <v>24</v>
      </c>
      <c r="C4" s="21">
        <v>53</v>
      </c>
      <c r="D4" s="21">
        <v>396</v>
      </c>
      <c r="E4" s="21">
        <v>495</v>
      </c>
      <c r="F4" s="37">
        <f t="shared" si="0"/>
        <v>-0.54716981132075471</v>
      </c>
      <c r="G4" s="37">
        <f t="shared" si="1"/>
        <v>-0.2</v>
      </c>
    </row>
    <row r="5" spans="1:7">
      <c r="A5" s="15" t="s">
        <v>95</v>
      </c>
      <c r="B5" s="21">
        <v>6</v>
      </c>
      <c r="C5" s="21">
        <v>15</v>
      </c>
      <c r="D5" s="21">
        <v>109</v>
      </c>
      <c r="E5" s="21">
        <v>149</v>
      </c>
      <c r="F5" s="6">
        <f t="shared" si="0"/>
        <v>-0.6</v>
      </c>
      <c r="G5" s="6">
        <f t="shared" si="1"/>
        <v>-0.26845637583892618</v>
      </c>
    </row>
    <row r="6" spans="1:7">
      <c r="A6" s="15" t="s">
        <v>100</v>
      </c>
      <c r="B6" s="21">
        <v>13</v>
      </c>
      <c r="C6" s="21">
        <v>20</v>
      </c>
      <c r="D6" s="21">
        <v>164</v>
      </c>
      <c r="E6" s="21">
        <v>225</v>
      </c>
      <c r="F6" s="6">
        <f t="shared" si="0"/>
        <v>-0.35</v>
      </c>
      <c r="G6" s="6">
        <f t="shared" si="1"/>
        <v>-0.27111111111111114</v>
      </c>
    </row>
    <row r="7" spans="1:7">
      <c r="A7" s="15" t="s">
        <v>101</v>
      </c>
      <c r="B7" s="21">
        <v>5</v>
      </c>
      <c r="C7" s="21">
        <v>2</v>
      </c>
      <c r="D7" s="21">
        <v>40</v>
      </c>
      <c r="E7" s="21">
        <v>37</v>
      </c>
      <c r="F7" s="38">
        <f t="shared" si="0"/>
        <v>1.5</v>
      </c>
      <c r="G7" s="38">
        <f t="shared" si="1"/>
        <v>8.1081081081081086E-2</v>
      </c>
    </row>
    <row r="8" spans="1:7">
      <c r="A8" s="15"/>
      <c r="B8" s="8"/>
      <c r="C8" s="8"/>
      <c r="D8" s="8"/>
      <c r="E8" s="8"/>
      <c r="F8" s="38"/>
      <c r="G8" s="38"/>
    </row>
    <row r="9" spans="1:7">
      <c r="A9" s="2" t="s">
        <v>102</v>
      </c>
      <c r="B9" s="25">
        <f>SUM(B2:B8)</f>
        <v>187</v>
      </c>
      <c r="C9" s="25">
        <f t="shared" ref="C9:E9" si="2">SUM(C2:C8)</f>
        <v>298</v>
      </c>
      <c r="D9" s="25">
        <f t="shared" si="2"/>
        <v>2435</v>
      </c>
      <c r="E9" s="25">
        <f t="shared" si="2"/>
        <v>3077</v>
      </c>
      <c r="F9" s="69">
        <f t="shared" si="0"/>
        <v>-0.37248322147651008</v>
      </c>
      <c r="G9" s="69">
        <f t="shared" si="1"/>
        <v>-0.208644783880403</v>
      </c>
    </row>
    <row r="10" spans="1:7">
      <c r="A10" s="20"/>
      <c r="B10" s="8"/>
      <c r="C10" s="8"/>
      <c r="D10" s="8"/>
      <c r="E10" s="8"/>
      <c r="F10" s="8"/>
      <c r="G10" s="8"/>
    </row>
    <row r="11" spans="1:7" s="26" customFormat="1">
      <c r="A11" s="2" t="s">
        <v>229</v>
      </c>
      <c r="B11" s="1" t="s">
        <v>0</v>
      </c>
      <c r="C11" s="1" t="s">
        <v>30</v>
      </c>
      <c r="D11" s="1" t="s">
        <v>2</v>
      </c>
      <c r="E11" s="2" t="s">
        <v>3</v>
      </c>
      <c r="F11" s="2" t="s">
        <v>4</v>
      </c>
      <c r="G11" s="2" t="s">
        <v>5</v>
      </c>
    </row>
    <row r="12" spans="1:7">
      <c r="A12" s="15" t="s">
        <v>97</v>
      </c>
      <c r="B12" s="8">
        <v>16</v>
      </c>
      <c r="C12" s="8">
        <v>28</v>
      </c>
      <c r="D12" s="8">
        <v>210</v>
      </c>
      <c r="E12" s="8">
        <v>278</v>
      </c>
      <c r="F12" s="38">
        <f>(B12-C12)/C12</f>
        <v>-0.42857142857142855</v>
      </c>
      <c r="G12" s="38">
        <f>(D12-E12)/E12</f>
        <v>-0.2446043165467626</v>
      </c>
    </row>
    <row r="13" spans="1:7">
      <c r="A13" s="15" t="s">
        <v>98</v>
      </c>
      <c r="B13" s="8">
        <v>14</v>
      </c>
      <c r="C13" s="8">
        <v>27</v>
      </c>
      <c r="D13" s="8">
        <v>214</v>
      </c>
      <c r="E13" s="8">
        <v>275</v>
      </c>
      <c r="F13" s="6">
        <f t="shared" ref="F13:F16" si="3">(B13-C13)/C13</f>
        <v>-0.48148148148148145</v>
      </c>
      <c r="G13" s="6">
        <f t="shared" ref="G13:G19" si="4">(D13-E13)/E13</f>
        <v>-0.22181818181818183</v>
      </c>
    </row>
    <row r="14" spans="1:7">
      <c r="A14" s="15" t="s">
        <v>99</v>
      </c>
      <c r="B14" s="8">
        <v>6</v>
      </c>
      <c r="C14" s="8">
        <v>18</v>
      </c>
      <c r="D14" s="8">
        <v>128</v>
      </c>
      <c r="E14" s="8">
        <v>172</v>
      </c>
      <c r="F14" s="6">
        <f t="shared" si="3"/>
        <v>-0.66666666666666663</v>
      </c>
      <c r="G14" s="6">
        <f t="shared" si="4"/>
        <v>-0.2558139534883721</v>
      </c>
    </row>
    <row r="15" spans="1:7">
      <c r="A15" s="15" t="s">
        <v>95</v>
      </c>
      <c r="B15" s="8">
        <v>0</v>
      </c>
      <c r="C15" s="8">
        <v>3</v>
      </c>
      <c r="D15" s="8">
        <v>27</v>
      </c>
      <c r="E15" s="8">
        <v>29</v>
      </c>
      <c r="F15" s="6"/>
      <c r="G15" s="6">
        <f t="shared" si="4"/>
        <v>-6.8965517241379309E-2</v>
      </c>
    </row>
    <row r="16" spans="1:7">
      <c r="A16" s="15" t="s">
        <v>100</v>
      </c>
      <c r="B16" s="8">
        <v>4</v>
      </c>
      <c r="C16" s="8">
        <v>6</v>
      </c>
      <c r="D16" s="8">
        <v>48</v>
      </c>
      <c r="E16" s="8">
        <v>66</v>
      </c>
      <c r="F16" s="6">
        <f t="shared" si="3"/>
        <v>-0.33333333333333331</v>
      </c>
      <c r="G16" s="6">
        <f t="shared" si="4"/>
        <v>-0.27272727272727271</v>
      </c>
    </row>
    <row r="17" spans="1:7">
      <c r="A17" s="15" t="s">
        <v>101</v>
      </c>
      <c r="B17" s="8">
        <v>2</v>
      </c>
      <c r="C17" s="8">
        <v>0</v>
      </c>
      <c r="D17" s="8">
        <v>9</v>
      </c>
      <c r="E17" s="8">
        <v>8</v>
      </c>
      <c r="F17" s="6">
        <v>0</v>
      </c>
      <c r="G17" s="6">
        <f t="shared" si="4"/>
        <v>0.125</v>
      </c>
    </row>
    <row r="18" spans="1:7">
      <c r="A18" s="15"/>
      <c r="B18" s="8"/>
      <c r="C18" s="8"/>
      <c r="D18" s="8"/>
      <c r="E18" s="8"/>
      <c r="F18" s="6"/>
      <c r="G18" s="6"/>
    </row>
    <row r="19" spans="1:7">
      <c r="A19" s="2" t="s">
        <v>102</v>
      </c>
      <c r="B19" s="25">
        <f>SUM(B12:B18)</f>
        <v>42</v>
      </c>
      <c r="C19" s="25">
        <f t="shared" ref="C19:E19" si="5">SUM(C12:C18)</f>
        <v>82</v>
      </c>
      <c r="D19" s="25">
        <f t="shared" si="5"/>
        <v>636</v>
      </c>
      <c r="E19" s="25">
        <f t="shared" si="5"/>
        <v>828</v>
      </c>
      <c r="F19" s="18">
        <v>0</v>
      </c>
      <c r="G19" s="18">
        <f t="shared" si="4"/>
        <v>-0.2318840579710145</v>
      </c>
    </row>
    <row r="20" spans="1:7">
      <c r="A20" s="20"/>
      <c r="B20" s="8"/>
      <c r="C20" s="8"/>
      <c r="D20" s="8"/>
      <c r="E20" s="8"/>
      <c r="F20" s="8"/>
      <c r="G20" s="8"/>
    </row>
    <row r="21" spans="1:7" s="26" customFormat="1">
      <c r="A21" s="2" t="s">
        <v>224</v>
      </c>
      <c r="B21" s="1" t="s">
        <v>0</v>
      </c>
      <c r="C21" s="1" t="s">
        <v>30</v>
      </c>
      <c r="D21" s="1" t="s">
        <v>2</v>
      </c>
      <c r="E21" s="1" t="s">
        <v>3</v>
      </c>
      <c r="F21" s="2" t="s">
        <v>4</v>
      </c>
      <c r="G21" s="2" t="s">
        <v>5</v>
      </c>
    </row>
    <row r="22" spans="1:7">
      <c r="A22" s="15" t="s">
        <v>97</v>
      </c>
      <c r="B22" s="8">
        <v>61</v>
      </c>
      <c r="C22" s="8">
        <v>77</v>
      </c>
      <c r="D22" s="8">
        <v>630</v>
      </c>
      <c r="E22" s="8">
        <v>785</v>
      </c>
      <c r="F22" s="6">
        <f>(B22-C22)/C22</f>
        <v>-0.20779220779220781</v>
      </c>
      <c r="G22" s="6">
        <f>(D22-E22)/E22</f>
        <v>-0.19745222929936307</v>
      </c>
    </row>
    <row r="23" spans="1:7">
      <c r="A23" s="15" t="s">
        <v>98</v>
      </c>
      <c r="B23" s="8">
        <v>33</v>
      </c>
      <c r="C23" s="8">
        <v>55</v>
      </c>
      <c r="D23" s="8">
        <v>439</v>
      </c>
      <c r="E23" s="8">
        <v>573</v>
      </c>
      <c r="F23" s="6">
        <f t="shared" ref="F23:F29" si="6">(B23-C23)/C23</f>
        <v>-0.4</v>
      </c>
      <c r="G23" s="6">
        <f t="shared" ref="G23:G29" si="7">(D23-E23)/E23</f>
        <v>-0.2338568935427574</v>
      </c>
    </row>
    <row r="24" spans="1:7">
      <c r="A24" s="15" t="s">
        <v>99</v>
      </c>
      <c r="B24" s="8">
        <v>17</v>
      </c>
      <c r="C24" s="8">
        <v>33</v>
      </c>
      <c r="D24" s="8">
        <v>250</v>
      </c>
      <c r="E24" s="8">
        <v>307</v>
      </c>
      <c r="F24" s="6">
        <f t="shared" si="6"/>
        <v>-0.48484848484848486</v>
      </c>
      <c r="G24" s="6">
        <f t="shared" si="7"/>
        <v>-0.18566775244299674</v>
      </c>
    </row>
    <row r="25" spans="1:7">
      <c r="A25" s="15" t="s">
        <v>95</v>
      </c>
      <c r="B25" s="8">
        <v>6</v>
      </c>
      <c r="C25" s="8">
        <v>7</v>
      </c>
      <c r="D25" s="8">
        <v>67</v>
      </c>
      <c r="E25" s="8">
        <v>98</v>
      </c>
      <c r="F25" s="6">
        <f t="shared" si="6"/>
        <v>-0.14285714285714285</v>
      </c>
      <c r="G25" s="6">
        <f t="shared" si="7"/>
        <v>-0.31632653061224492</v>
      </c>
    </row>
    <row r="26" spans="1:7">
      <c r="A26" s="15" t="s">
        <v>100</v>
      </c>
      <c r="B26" s="8">
        <v>8</v>
      </c>
      <c r="C26" s="8">
        <v>14</v>
      </c>
      <c r="D26" s="8">
        <v>99</v>
      </c>
      <c r="E26" s="8">
        <v>147</v>
      </c>
      <c r="F26" s="6">
        <f t="shared" si="6"/>
        <v>-0.42857142857142855</v>
      </c>
      <c r="G26" s="6">
        <f t="shared" si="7"/>
        <v>-0.32653061224489793</v>
      </c>
    </row>
    <row r="27" spans="1:7">
      <c r="A27" s="15" t="s">
        <v>101</v>
      </c>
      <c r="B27" s="8">
        <v>2</v>
      </c>
      <c r="C27" s="8">
        <v>1</v>
      </c>
      <c r="D27" s="8">
        <v>23</v>
      </c>
      <c r="E27" s="8">
        <v>21</v>
      </c>
      <c r="F27" s="6">
        <f t="shared" si="6"/>
        <v>1</v>
      </c>
      <c r="G27" s="6">
        <f t="shared" si="7"/>
        <v>9.5238095238095233E-2</v>
      </c>
    </row>
    <row r="28" spans="1:7">
      <c r="A28" s="15"/>
      <c r="B28" s="8"/>
      <c r="C28" s="8"/>
      <c r="D28" s="8"/>
      <c r="E28" s="8"/>
      <c r="F28" s="6"/>
      <c r="G28" s="6"/>
    </row>
    <row r="29" spans="1:7">
      <c r="A29" s="2" t="s">
        <v>102</v>
      </c>
      <c r="B29" s="25">
        <f>SUM(B22:B28)</f>
        <v>127</v>
      </c>
      <c r="C29" s="25">
        <f t="shared" ref="C29:E29" si="8">SUM(C22:C28)</f>
        <v>187</v>
      </c>
      <c r="D29" s="25">
        <f t="shared" si="8"/>
        <v>1508</v>
      </c>
      <c r="E29" s="25">
        <f t="shared" si="8"/>
        <v>1931</v>
      </c>
      <c r="F29" s="18">
        <f t="shared" si="6"/>
        <v>-0.32085561497326204</v>
      </c>
      <c r="G29" s="18">
        <f t="shared" si="7"/>
        <v>-0.21905748316934232</v>
      </c>
    </row>
    <row r="30" spans="1:7">
      <c r="A30" s="20"/>
      <c r="B30" s="8"/>
      <c r="C30" s="8"/>
      <c r="D30" s="8"/>
      <c r="E30" s="8"/>
      <c r="F30" s="8"/>
      <c r="G30" s="8"/>
    </row>
    <row r="31" spans="1:7" s="26" customFormat="1">
      <c r="A31" s="2" t="s">
        <v>230</v>
      </c>
      <c r="B31" s="1" t="s">
        <v>0</v>
      </c>
      <c r="C31" s="1" t="s">
        <v>30</v>
      </c>
      <c r="D31" s="1" t="s">
        <v>2</v>
      </c>
      <c r="E31" s="1" t="s">
        <v>3</v>
      </c>
      <c r="F31" s="2" t="s">
        <v>4</v>
      </c>
      <c r="G31" s="2" t="s">
        <v>5</v>
      </c>
    </row>
    <row r="32" spans="1:7">
      <c r="A32" s="15" t="s">
        <v>97</v>
      </c>
      <c r="B32" s="8">
        <v>3</v>
      </c>
      <c r="C32" s="8">
        <v>1</v>
      </c>
      <c r="D32" s="8">
        <v>56</v>
      </c>
      <c r="E32" s="8">
        <v>54</v>
      </c>
      <c r="F32" s="6">
        <f>(B32-C32)/C32</f>
        <v>2</v>
      </c>
      <c r="G32" s="6">
        <f>(D32-E32)/E32</f>
        <v>3.7037037037037035E-2</v>
      </c>
    </row>
    <row r="33" spans="1:7">
      <c r="A33" s="15" t="s">
        <v>98</v>
      </c>
      <c r="B33" s="8">
        <v>3</v>
      </c>
      <c r="C33" s="8">
        <v>8</v>
      </c>
      <c r="D33" s="8">
        <v>51</v>
      </c>
      <c r="E33" s="8">
        <v>58</v>
      </c>
      <c r="F33" s="37">
        <f t="shared" ref="F33:F39" si="9">(B33-C33)/C33</f>
        <v>-0.625</v>
      </c>
      <c r="G33" s="37">
        <f t="shared" ref="G33:G39" si="10">(D33-E33)/E33</f>
        <v>-0.1206896551724138</v>
      </c>
    </row>
    <row r="34" spans="1:7">
      <c r="A34" s="15" t="s">
        <v>99</v>
      </c>
      <c r="B34" s="8">
        <v>1</v>
      </c>
      <c r="C34" s="8">
        <v>2</v>
      </c>
      <c r="D34" s="8">
        <v>15</v>
      </c>
      <c r="E34" s="8">
        <v>16</v>
      </c>
      <c r="F34" s="6">
        <f t="shared" si="9"/>
        <v>-0.5</v>
      </c>
      <c r="G34" s="6">
        <f t="shared" si="10"/>
        <v>-6.25E-2</v>
      </c>
    </row>
    <row r="35" spans="1:7">
      <c r="A35" s="15" t="s">
        <v>95</v>
      </c>
      <c r="B35" s="8">
        <v>0</v>
      </c>
      <c r="C35" s="8">
        <v>5</v>
      </c>
      <c r="D35" s="8">
        <v>16</v>
      </c>
      <c r="E35" s="8">
        <v>22</v>
      </c>
      <c r="F35" s="6">
        <f t="shared" si="9"/>
        <v>-1</v>
      </c>
      <c r="G35" s="6">
        <f t="shared" si="10"/>
        <v>-0.27272727272727271</v>
      </c>
    </row>
    <row r="36" spans="1:7">
      <c r="A36" s="15" t="s">
        <v>100</v>
      </c>
      <c r="B36" s="8">
        <v>1</v>
      </c>
      <c r="C36" s="8">
        <v>0</v>
      </c>
      <c r="D36" s="8">
        <v>10</v>
      </c>
      <c r="E36" s="8">
        <v>12</v>
      </c>
      <c r="F36" s="6" t="e">
        <f t="shared" si="9"/>
        <v>#DIV/0!</v>
      </c>
      <c r="G36" s="6">
        <f t="shared" si="10"/>
        <v>-0.16666666666666666</v>
      </c>
    </row>
    <row r="37" spans="1:7">
      <c r="A37" s="15" t="s">
        <v>101</v>
      </c>
      <c r="B37" s="8">
        <v>1</v>
      </c>
      <c r="C37" s="8">
        <v>1</v>
      </c>
      <c r="D37" s="8">
        <v>8</v>
      </c>
      <c r="E37" s="8">
        <v>8</v>
      </c>
      <c r="F37" s="6"/>
      <c r="G37" s="6">
        <f t="shared" si="10"/>
        <v>0</v>
      </c>
    </row>
    <row r="38" spans="1:7">
      <c r="A38" s="15"/>
      <c r="B38" s="8"/>
      <c r="C38" s="8"/>
      <c r="D38" s="8"/>
      <c r="E38" s="8"/>
      <c r="F38" s="6"/>
      <c r="G38" s="6"/>
    </row>
    <row r="39" spans="1:7">
      <c r="A39" s="2" t="s">
        <v>102</v>
      </c>
      <c r="B39" s="25">
        <f>SUM(B32:B38)</f>
        <v>9</v>
      </c>
      <c r="C39" s="25">
        <f t="shared" ref="C39:E39" si="11">SUM(C32:C38)</f>
        <v>17</v>
      </c>
      <c r="D39" s="25">
        <f t="shared" si="11"/>
        <v>156</v>
      </c>
      <c r="E39" s="25">
        <f t="shared" si="11"/>
        <v>170</v>
      </c>
      <c r="F39" s="18">
        <f t="shared" si="9"/>
        <v>-0.47058823529411764</v>
      </c>
      <c r="G39" s="18">
        <f t="shared" si="10"/>
        <v>-8.2352941176470587E-2</v>
      </c>
    </row>
    <row r="40" spans="1:7">
      <c r="A40" s="59"/>
      <c r="B40" s="60"/>
      <c r="C40" s="60"/>
      <c r="D40" s="60"/>
      <c r="E40" s="60"/>
      <c r="F40" s="70"/>
      <c r="G40" s="70"/>
    </row>
    <row r="41" spans="1:7">
      <c r="A41" s="60"/>
      <c r="B41" s="60"/>
      <c r="C41" s="60"/>
      <c r="D41" s="60"/>
      <c r="E41" s="60"/>
      <c r="F41" s="60"/>
      <c r="G41" s="60"/>
    </row>
    <row r="42" spans="1:7">
      <c r="A42" s="59"/>
      <c r="B42" s="60"/>
      <c r="C42" s="60"/>
      <c r="D42" s="60"/>
      <c r="E42" s="60"/>
      <c r="F42" s="60"/>
      <c r="G42" s="60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topLeftCell="A6" workbookViewId="0">
      <selection activeCell="A29" sqref="A29:G37"/>
    </sheetView>
  </sheetViews>
  <sheetFormatPr defaultRowHeight="12.75"/>
  <cols>
    <col min="1" max="1" width="25.5703125" style="26" bestFit="1" customWidth="1"/>
    <col min="2" max="2" width="13.5703125" style="19" customWidth="1"/>
    <col min="3" max="3" width="20.140625" style="19" bestFit="1" customWidth="1"/>
    <col min="4" max="4" width="8.140625" style="19" bestFit="1" customWidth="1"/>
    <col min="5" max="5" width="8.85546875" style="19" bestFit="1" customWidth="1"/>
    <col min="6" max="6" width="17.28515625" style="19" bestFit="1" customWidth="1"/>
    <col min="7" max="7" width="12.140625" style="19" bestFit="1" customWidth="1"/>
    <col min="8" max="16384" width="9.140625" style="19"/>
  </cols>
  <sheetData>
    <row r="1" spans="1:7">
      <c r="A1" s="15" t="s">
        <v>242</v>
      </c>
      <c r="B1" s="14" t="s">
        <v>0</v>
      </c>
      <c r="C1" s="14" t="s">
        <v>30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1:7" s="26" customFormat="1">
      <c r="A2" s="14" t="s">
        <v>41</v>
      </c>
      <c r="B2" s="21">
        <v>698</v>
      </c>
      <c r="C2" s="21">
        <v>954</v>
      </c>
      <c r="D2" s="21">
        <v>7824</v>
      </c>
      <c r="E2" s="21">
        <v>7281</v>
      </c>
      <c r="F2" s="76">
        <f>(B2-C2)/C2</f>
        <v>-0.26834381551362685</v>
      </c>
      <c r="G2" s="76">
        <f>(D2-E2)/E2</f>
        <v>7.4577667902760617E-2</v>
      </c>
    </row>
    <row r="3" spans="1:7">
      <c r="A3" s="14" t="s">
        <v>42</v>
      </c>
      <c r="B3" s="21">
        <v>0</v>
      </c>
      <c r="C3" s="21">
        <v>0</v>
      </c>
      <c r="D3" s="21">
        <v>8</v>
      </c>
      <c r="E3" s="21">
        <v>8</v>
      </c>
      <c r="F3" s="76" t="e">
        <f t="shared" ref="F3:F5" si="0">(B3-C3)/C3</f>
        <v>#DIV/0!</v>
      </c>
      <c r="G3" s="76">
        <f t="shared" ref="G3:G13" si="1">(D3-E3)/E3</f>
        <v>0</v>
      </c>
    </row>
    <row r="4" spans="1:7">
      <c r="A4" s="14"/>
      <c r="B4" s="21"/>
      <c r="C4" s="21"/>
      <c r="D4" s="21"/>
      <c r="E4" s="21"/>
      <c r="F4" s="76"/>
      <c r="G4" s="76"/>
    </row>
    <row r="5" spans="1:7">
      <c r="A5" s="1" t="s">
        <v>246</v>
      </c>
      <c r="B5" s="25">
        <f>SUM(B2:B3)</f>
        <v>698</v>
      </c>
      <c r="C5" s="25">
        <f t="shared" ref="C5:E5" si="2">SUM(C2:C3)</f>
        <v>954</v>
      </c>
      <c r="D5" s="25">
        <f t="shared" si="2"/>
        <v>7832</v>
      </c>
      <c r="E5" s="25">
        <f t="shared" si="2"/>
        <v>7289</v>
      </c>
      <c r="F5" s="76">
        <f t="shared" si="0"/>
        <v>-0.26834381551362685</v>
      </c>
      <c r="G5" s="64">
        <f t="shared" si="1"/>
        <v>7.4495815612566879E-2</v>
      </c>
    </row>
    <row r="6" spans="1:7">
      <c r="A6" s="16"/>
      <c r="B6" s="21"/>
      <c r="C6" s="21"/>
      <c r="D6" s="21"/>
      <c r="E6" s="21"/>
      <c r="F6" s="76"/>
      <c r="G6" s="76"/>
    </row>
    <row r="7" spans="1:7">
      <c r="A7" s="14" t="s">
        <v>236</v>
      </c>
      <c r="B7" s="14" t="s">
        <v>0</v>
      </c>
      <c r="C7" s="14" t="s">
        <v>30</v>
      </c>
      <c r="D7" s="14" t="s">
        <v>2</v>
      </c>
      <c r="E7" s="14" t="s">
        <v>3</v>
      </c>
      <c r="F7" s="14" t="s">
        <v>4</v>
      </c>
      <c r="G7" s="14" t="s">
        <v>5</v>
      </c>
    </row>
    <row r="8" spans="1:7">
      <c r="A8" s="14" t="s">
        <v>140</v>
      </c>
      <c r="B8" s="21">
        <v>329</v>
      </c>
      <c r="C8" s="21">
        <v>526</v>
      </c>
      <c r="D8" s="21">
        <v>5406</v>
      </c>
      <c r="E8" s="21">
        <v>4913</v>
      </c>
      <c r="F8" s="76">
        <f t="shared" ref="F8:F13" si="3">(B8-C8)/C8</f>
        <v>-0.37452471482889732</v>
      </c>
      <c r="G8" s="76">
        <f t="shared" si="1"/>
        <v>0.10034602076124567</v>
      </c>
    </row>
    <row r="9" spans="1:7">
      <c r="A9" s="14" t="s">
        <v>141</v>
      </c>
      <c r="B9" s="21">
        <v>2</v>
      </c>
      <c r="C9" s="21">
        <v>2</v>
      </c>
      <c r="D9" s="21">
        <v>36</v>
      </c>
      <c r="E9" s="21">
        <v>21</v>
      </c>
      <c r="F9" s="76">
        <f t="shared" si="3"/>
        <v>0</v>
      </c>
      <c r="G9" s="76">
        <f t="shared" si="1"/>
        <v>0.7142857142857143</v>
      </c>
    </row>
    <row r="10" spans="1:7" s="26" customFormat="1">
      <c r="A10" s="14" t="s">
        <v>21</v>
      </c>
      <c r="B10" s="21">
        <v>0</v>
      </c>
      <c r="C10" s="21">
        <v>0</v>
      </c>
      <c r="D10" s="21">
        <v>0</v>
      </c>
      <c r="E10" s="21">
        <v>0</v>
      </c>
      <c r="F10" s="76" t="e">
        <f t="shared" si="3"/>
        <v>#DIV/0!</v>
      </c>
      <c r="G10" s="76" t="e">
        <f t="shared" si="1"/>
        <v>#DIV/0!</v>
      </c>
    </row>
    <row r="11" spans="1:7">
      <c r="A11" s="14" t="s">
        <v>146</v>
      </c>
      <c r="B11" s="21">
        <v>0</v>
      </c>
      <c r="C11" s="21">
        <v>1</v>
      </c>
      <c r="D11" s="21">
        <v>4</v>
      </c>
      <c r="E11" s="21">
        <v>71</v>
      </c>
      <c r="F11" s="76">
        <f t="shared" si="3"/>
        <v>-1</v>
      </c>
      <c r="G11" s="76">
        <f t="shared" si="1"/>
        <v>-0.94366197183098588</v>
      </c>
    </row>
    <row r="12" spans="1:7">
      <c r="A12" s="14" t="s">
        <v>147</v>
      </c>
      <c r="B12" s="21">
        <v>0</v>
      </c>
      <c r="C12" s="21">
        <v>0</v>
      </c>
      <c r="D12" s="21">
        <v>0</v>
      </c>
      <c r="E12" s="21">
        <v>0</v>
      </c>
      <c r="F12" s="76" t="e">
        <f t="shared" si="3"/>
        <v>#DIV/0!</v>
      </c>
      <c r="G12" s="76" t="e">
        <f t="shared" si="1"/>
        <v>#DIV/0!</v>
      </c>
    </row>
    <row r="13" spans="1:7">
      <c r="A13" s="14" t="s">
        <v>26</v>
      </c>
      <c r="B13" s="21">
        <v>0</v>
      </c>
      <c r="C13" s="21">
        <v>0</v>
      </c>
      <c r="D13" s="21">
        <v>0</v>
      </c>
      <c r="E13" s="21">
        <v>0</v>
      </c>
      <c r="F13" s="76" t="e">
        <f t="shared" si="3"/>
        <v>#DIV/0!</v>
      </c>
      <c r="G13" s="76" t="e">
        <f t="shared" si="1"/>
        <v>#DIV/0!</v>
      </c>
    </row>
    <row r="14" spans="1:7">
      <c r="A14" s="16"/>
      <c r="B14" s="21"/>
      <c r="C14" s="21"/>
      <c r="D14" s="21"/>
      <c r="E14" s="21"/>
      <c r="F14" s="76"/>
      <c r="G14" s="76"/>
    </row>
    <row r="15" spans="1:7">
      <c r="A15" s="15" t="s">
        <v>237</v>
      </c>
      <c r="B15" s="14" t="s">
        <v>0</v>
      </c>
      <c r="C15" s="14" t="s">
        <v>30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7">
      <c r="A16" s="14" t="s">
        <v>43</v>
      </c>
      <c r="B16" s="21">
        <v>190.42</v>
      </c>
      <c r="C16" s="21">
        <v>166.5</v>
      </c>
      <c r="D16" s="21">
        <v>1823.71</v>
      </c>
      <c r="E16" s="21">
        <v>1960</v>
      </c>
      <c r="F16" s="76">
        <f>(B16-C16)/C16</f>
        <v>0.14366366366366359</v>
      </c>
      <c r="G16" s="76">
        <f>(D16-E16)/E16</f>
        <v>-6.953571428571427E-2</v>
      </c>
    </row>
    <row r="17" spans="1:7" s="26" customFormat="1">
      <c r="A17" s="14" t="s">
        <v>44</v>
      </c>
      <c r="B17" s="21">
        <v>108.67</v>
      </c>
      <c r="C17" s="21">
        <v>70.5</v>
      </c>
      <c r="D17" s="21">
        <v>1042.3399999999999</v>
      </c>
      <c r="E17" s="21">
        <v>893</v>
      </c>
      <c r="F17" s="76">
        <f t="shared" ref="F17:F24" si="4">(B17-C17)/C17</f>
        <v>0.54141843971631209</v>
      </c>
      <c r="G17" s="76">
        <f t="shared" ref="G17:G24" si="5">(D17-E17)/E17</f>
        <v>0.16723404255319141</v>
      </c>
    </row>
    <row r="18" spans="1:7">
      <c r="A18" s="14" t="s">
        <v>45</v>
      </c>
      <c r="B18" s="21">
        <v>35.5</v>
      </c>
      <c r="C18" s="21">
        <v>125.82</v>
      </c>
      <c r="D18" s="21">
        <v>857.17</v>
      </c>
      <c r="E18" s="21">
        <v>1143.82</v>
      </c>
      <c r="F18" s="76">
        <f t="shared" si="4"/>
        <v>-0.71785089810840885</v>
      </c>
      <c r="G18" s="76">
        <f t="shared" si="5"/>
        <v>-0.25060761308597507</v>
      </c>
    </row>
    <row r="19" spans="1:7">
      <c r="A19" s="16"/>
      <c r="B19" s="21"/>
      <c r="C19" s="21"/>
      <c r="D19" s="21"/>
      <c r="E19" s="21"/>
      <c r="F19" s="76"/>
      <c r="G19" s="76"/>
    </row>
    <row r="20" spans="1:7">
      <c r="A20" s="14" t="s">
        <v>142</v>
      </c>
      <c r="B20" s="14" t="s">
        <v>0</v>
      </c>
      <c r="C20" s="14" t="s">
        <v>30</v>
      </c>
      <c r="D20" s="14" t="s">
        <v>2</v>
      </c>
      <c r="E20" s="14" t="s">
        <v>3</v>
      </c>
      <c r="F20" s="14" t="s">
        <v>4</v>
      </c>
      <c r="G20" s="14" t="s">
        <v>5</v>
      </c>
    </row>
    <row r="21" spans="1:7">
      <c r="A21" s="14" t="s">
        <v>244</v>
      </c>
      <c r="B21" s="21">
        <v>529</v>
      </c>
      <c r="C21" s="21">
        <v>541.5</v>
      </c>
      <c r="D21" s="21">
        <v>6000.5</v>
      </c>
      <c r="E21" s="21">
        <v>6573.5</v>
      </c>
      <c r="F21" s="76">
        <f t="shared" si="4"/>
        <v>-2.3084025854108958E-2</v>
      </c>
      <c r="G21" s="76">
        <f t="shared" si="5"/>
        <v>-8.7168175249106264E-2</v>
      </c>
    </row>
    <row r="22" spans="1:7" s="26" customFormat="1">
      <c r="A22" s="14" t="s">
        <v>245</v>
      </c>
      <c r="B22" s="21">
        <v>6.75</v>
      </c>
      <c r="C22" s="21">
        <v>21.83</v>
      </c>
      <c r="D22" s="21">
        <v>37</v>
      </c>
      <c r="E22" s="21">
        <v>191.08</v>
      </c>
      <c r="F22" s="76">
        <f t="shared" si="4"/>
        <v>-0.69079248740265686</v>
      </c>
      <c r="G22" s="76">
        <f t="shared" si="5"/>
        <v>-0.80636382666945783</v>
      </c>
    </row>
    <row r="23" spans="1:7" s="26" customFormat="1">
      <c r="A23" s="15"/>
      <c r="B23" s="21"/>
      <c r="C23" s="21"/>
      <c r="D23" s="21"/>
      <c r="E23" s="21"/>
      <c r="F23" s="76"/>
      <c r="G23" s="76"/>
    </row>
    <row r="24" spans="1:7">
      <c r="A24" s="1" t="s">
        <v>243</v>
      </c>
      <c r="B24" s="25">
        <f>SUM(B21:B22)</f>
        <v>535.75</v>
      </c>
      <c r="C24" s="25">
        <f t="shared" ref="C24:E24" si="6">SUM(C21:C22)</f>
        <v>563.33000000000004</v>
      </c>
      <c r="D24" s="25">
        <f t="shared" si="6"/>
        <v>6037.5</v>
      </c>
      <c r="E24" s="25">
        <f t="shared" si="6"/>
        <v>6764.58</v>
      </c>
      <c r="F24" s="64">
        <f t="shared" si="4"/>
        <v>-4.8958869579110005E-2</v>
      </c>
      <c r="G24" s="64">
        <f t="shared" si="5"/>
        <v>-0.1074833914300666</v>
      </c>
    </row>
    <row r="25" spans="1:7">
      <c r="A25" s="16"/>
      <c r="B25" s="21"/>
      <c r="C25" s="21"/>
      <c r="D25" s="21"/>
      <c r="E25" s="21"/>
      <c r="F25" s="76"/>
      <c r="G25" s="76"/>
    </row>
    <row r="26" spans="1:7" s="26" customFormat="1">
      <c r="A26" s="14" t="s">
        <v>247</v>
      </c>
      <c r="B26" s="14" t="s">
        <v>0</v>
      </c>
      <c r="C26" s="14" t="s">
        <v>30</v>
      </c>
      <c r="D26" s="14" t="s">
        <v>2</v>
      </c>
      <c r="E26" s="14" t="s">
        <v>3</v>
      </c>
      <c r="F26" s="14" t="s">
        <v>4</v>
      </c>
      <c r="G26" s="14" t="s">
        <v>5</v>
      </c>
    </row>
    <row r="27" spans="1:7" s="26" customFormat="1">
      <c r="A27" s="1" t="s">
        <v>46</v>
      </c>
      <c r="B27" s="20">
        <v>2395</v>
      </c>
      <c r="C27" s="20">
        <v>2176</v>
      </c>
      <c r="D27" s="20">
        <v>54642</v>
      </c>
      <c r="E27" s="20">
        <v>29661</v>
      </c>
      <c r="F27" s="77">
        <f>(B27-C27)/C27</f>
        <v>0.10064338235294118</v>
      </c>
      <c r="G27" s="77">
        <f>(D27-E27)/E27</f>
        <v>0.84221705269545866</v>
      </c>
    </row>
    <row r="28" spans="1:7" s="26" customFormat="1">
      <c r="A28" s="16"/>
      <c r="B28" s="21"/>
      <c r="C28" s="21"/>
      <c r="D28" s="21"/>
      <c r="E28" s="21"/>
      <c r="F28" s="76"/>
      <c r="G28" s="76"/>
    </row>
    <row r="29" spans="1:7">
      <c r="A29" s="15" t="s">
        <v>148</v>
      </c>
      <c r="B29" s="14" t="s">
        <v>0</v>
      </c>
      <c r="C29" s="14" t="s">
        <v>30</v>
      </c>
      <c r="D29" s="14" t="s">
        <v>2</v>
      </c>
      <c r="E29" s="14" t="s">
        <v>3</v>
      </c>
      <c r="F29" s="14" t="s">
        <v>4</v>
      </c>
      <c r="G29" s="14" t="s">
        <v>5</v>
      </c>
    </row>
    <row r="30" spans="1:7">
      <c r="A30" s="14" t="s">
        <v>149</v>
      </c>
      <c r="B30" s="21">
        <v>1</v>
      </c>
      <c r="C30" s="21">
        <v>0</v>
      </c>
      <c r="D30" s="21">
        <v>1</v>
      </c>
      <c r="E30" s="21">
        <v>12</v>
      </c>
      <c r="F30" s="76" t="e">
        <f>(B30-C30)/C30</f>
        <v>#DIV/0!</v>
      </c>
      <c r="G30" s="76">
        <f>(D30-E30)/E30</f>
        <v>-0.91666666666666663</v>
      </c>
    </row>
    <row r="31" spans="1:7">
      <c r="A31" s="14" t="s">
        <v>150</v>
      </c>
      <c r="B31" s="21">
        <v>0</v>
      </c>
      <c r="C31" s="21">
        <v>1</v>
      </c>
      <c r="D31" s="21">
        <v>0</v>
      </c>
      <c r="E31" s="21">
        <v>2</v>
      </c>
      <c r="F31" s="76">
        <f t="shared" ref="F31:F34" si="7">(B31-C31)/C31</f>
        <v>-1</v>
      </c>
      <c r="G31" s="76">
        <f t="shared" ref="G31:G34" si="8">(D31-E31)/E31</f>
        <v>-1</v>
      </c>
    </row>
    <row r="32" spans="1:7">
      <c r="A32" s="14" t="s">
        <v>21</v>
      </c>
      <c r="B32" s="21">
        <v>112</v>
      </c>
      <c r="C32" s="21">
        <v>155</v>
      </c>
      <c r="D32" s="21">
        <v>1279</v>
      </c>
      <c r="E32" s="21">
        <v>979</v>
      </c>
      <c r="F32" s="76">
        <f t="shared" si="7"/>
        <v>-0.27741935483870966</v>
      </c>
      <c r="G32" s="76">
        <f t="shared" si="8"/>
        <v>0.30643513789581206</v>
      </c>
    </row>
    <row r="33" spans="1:7">
      <c r="A33" s="14" t="s">
        <v>23</v>
      </c>
      <c r="B33" s="21">
        <v>0</v>
      </c>
      <c r="C33" s="21">
        <v>0</v>
      </c>
      <c r="D33" s="21">
        <v>1</v>
      </c>
      <c r="E33" s="21">
        <v>1</v>
      </c>
      <c r="F33" s="76" t="e">
        <f t="shared" si="7"/>
        <v>#DIV/0!</v>
      </c>
      <c r="G33" s="76">
        <f t="shared" si="8"/>
        <v>0</v>
      </c>
    </row>
    <row r="34" spans="1:7">
      <c r="A34" s="14" t="s">
        <v>31</v>
      </c>
      <c r="B34" s="21">
        <v>0</v>
      </c>
      <c r="C34" s="21">
        <v>0</v>
      </c>
      <c r="D34" s="21">
        <v>0</v>
      </c>
      <c r="E34" s="21">
        <v>2</v>
      </c>
      <c r="F34" s="76" t="e">
        <f t="shared" si="7"/>
        <v>#DIV/0!</v>
      </c>
      <c r="G34" s="76">
        <f t="shared" si="8"/>
        <v>-1</v>
      </c>
    </row>
    <row r="35" spans="1:7">
      <c r="A35" s="14"/>
      <c r="B35" s="21"/>
      <c r="C35" s="21"/>
      <c r="D35" s="21"/>
      <c r="E35" s="21"/>
      <c r="F35" s="76"/>
      <c r="G35" s="76"/>
    </row>
    <row r="36" spans="1:7">
      <c r="A36" s="14" t="s">
        <v>142</v>
      </c>
      <c r="B36" s="21">
        <v>130.5</v>
      </c>
      <c r="C36" s="21">
        <v>125</v>
      </c>
      <c r="D36" s="21">
        <v>2191.25</v>
      </c>
      <c r="E36" s="21">
        <v>1086.5</v>
      </c>
      <c r="F36" s="76">
        <f>(B36-C36)/C36</f>
        <v>4.3999999999999997E-2</v>
      </c>
      <c r="G36" s="76">
        <f>(D36-E36)/E36</f>
        <v>1.0167970547630005</v>
      </c>
    </row>
    <row r="37" spans="1:7">
      <c r="A37" s="14" t="s">
        <v>176</v>
      </c>
      <c r="B37" s="21">
        <v>146.5</v>
      </c>
      <c r="C37" s="21">
        <v>1139</v>
      </c>
      <c r="D37" s="21">
        <v>7722.5</v>
      </c>
      <c r="E37" s="21">
        <v>9592</v>
      </c>
      <c r="F37" s="76">
        <f>(B37-C37)/C37</f>
        <v>-0.87137840210711148</v>
      </c>
      <c r="G37" s="76">
        <f>(D37-E37)/E37</f>
        <v>-0.19490200166805671</v>
      </c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topLeftCell="A28" workbookViewId="0">
      <selection activeCell="A44" sqref="A44:G61"/>
    </sheetView>
  </sheetViews>
  <sheetFormatPr defaultRowHeight="12.75"/>
  <cols>
    <col min="1" max="1" width="47.7109375" style="26" bestFit="1" customWidth="1"/>
    <col min="2" max="2" width="11.28515625" style="19" bestFit="1" customWidth="1"/>
    <col min="3" max="3" width="20.140625" style="19" bestFit="1" customWidth="1"/>
    <col min="4" max="4" width="8.5703125" style="19" customWidth="1"/>
    <col min="5" max="5" width="11.140625" style="19" bestFit="1" customWidth="1"/>
    <col min="6" max="6" width="17.28515625" style="68" bestFit="1" customWidth="1"/>
    <col min="7" max="7" width="12.140625" style="68" bestFit="1" customWidth="1"/>
    <col min="8" max="16384" width="9.140625" style="19"/>
  </cols>
  <sheetData>
    <row r="1" spans="1:7" s="26" customFormat="1">
      <c r="A1" s="1" t="s">
        <v>71</v>
      </c>
      <c r="B1" s="2" t="s">
        <v>0</v>
      </c>
      <c r="C1" s="2" t="s">
        <v>30</v>
      </c>
      <c r="D1" s="2" t="s">
        <v>2</v>
      </c>
      <c r="E1" s="2" t="s">
        <v>3</v>
      </c>
      <c r="F1" s="66" t="s">
        <v>4</v>
      </c>
      <c r="G1" s="66" t="s">
        <v>5</v>
      </c>
    </row>
    <row r="2" spans="1:7">
      <c r="A2" s="15" t="s">
        <v>47</v>
      </c>
      <c r="B2" s="8">
        <v>35</v>
      </c>
      <c r="C2" s="8">
        <v>18</v>
      </c>
      <c r="D2" s="8">
        <v>325</v>
      </c>
      <c r="E2" s="8">
        <v>232</v>
      </c>
      <c r="F2" s="6">
        <f>(B2-C2)/C2</f>
        <v>0.94444444444444442</v>
      </c>
      <c r="G2" s="6">
        <f>(D2-E2)/E2</f>
        <v>0.40086206896551724</v>
      </c>
    </row>
    <row r="3" spans="1:7">
      <c r="A3" s="15" t="s">
        <v>48</v>
      </c>
      <c r="B3" s="8">
        <v>18</v>
      </c>
      <c r="C3" s="8">
        <v>19</v>
      </c>
      <c r="D3" s="8">
        <v>286</v>
      </c>
      <c r="E3" s="8">
        <v>184</v>
      </c>
      <c r="F3" s="6">
        <f t="shared" ref="F3:F5" si="0">(B3-C3)/C3</f>
        <v>-5.2631578947368418E-2</v>
      </c>
      <c r="G3" s="6">
        <f>(D3-E3)/E3</f>
        <v>0.55434782608695654</v>
      </c>
    </row>
    <row r="4" spans="1:7">
      <c r="A4" s="2"/>
      <c r="B4" s="8"/>
      <c r="C4" s="8"/>
      <c r="D4" s="8"/>
      <c r="E4" s="8"/>
      <c r="F4" s="6"/>
      <c r="G4" s="6"/>
    </row>
    <row r="5" spans="1:7">
      <c r="A5" s="2" t="s">
        <v>102</v>
      </c>
      <c r="B5" s="25">
        <f>SUM(B2:B4)</f>
        <v>53</v>
      </c>
      <c r="C5" s="25">
        <f t="shared" ref="C5:E5" si="1">SUM(C2:C4)</f>
        <v>37</v>
      </c>
      <c r="D5" s="25">
        <f t="shared" si="1"/>
        <v>611</v>
      </c>
      <c r="E5" s="25">
        <f t="shared" si="1"/>
        <v>416</v>
      </c>
      <c r="F5" s="18">
        <f t="shared" si="0"/>
        <v>0.43243243243243246</v>
      </c>
      <c r="G5" s="18">
        <f>(D5-E5)/E5</f>
        <v>0.46875</v>
      </c>
    </row>
    <row r="6" spans="1:7">
      <c r="A6" s="25"/>
      <c r="B6" s="8"/>
      <c r="C6" s="8"/>
      <c r="D6" s="8"/>
      <c r="E6" s="8"/>
      <c r="F6" s="6"/>
      <c r="G6" s="6"/>
    </row>
    <row r="7" spans="1:7" s="26" customFormat="1">
      <c r="A7" s="2" t="s">
        <v>49</v>
      </c>
      <c r="B7" s="2" t="s">
        <v>0</v>
      </c>
      <c r="C7" s="2" t="s">
        <v>30</v>
      </c>
      <c r="D7" s="2" t="s">
        <v>2</v>
      </c>
      <c r="E7" s="2" t="s">
        <v>3</v>
      </c>
      <c r="F7" s="66" t="s">
        <v>4</v>
      </c>
      <c r="G7" s="66" t="s">
        <v>5</v>
      </c>
    </row>
    <row r="8" spans="1:7">
      <c r="A8" s="15" t="s">
        <v>47</v>
      </c>
      <c r="B8" s="8">
        <v>36</v>
      </c>
      <c r="C8" s="8">
        <v>8</v>
      </c>
      <c r="D8" s="8">
        <v>343</v>
      </c>
      <c r="E8" s="8">
        <v>229</v>
      </c>
      <c r="F8" s="6">
        <f>(B8-C8)/C8</f>
        <v>3.5</v>
      </c>
      <c r="G8" s="6">
        <f>(D8-E8)/E8</f>
        <v>0.49781659388646288</v>
      </c>
    </row>
    <row r="9" spans="1:7">
      <c r="A9" s="15" t="s">
        <v>48</v>
      </c>
      <c r="B9" s="8">
        <v>0</v>
      </c>
      <c r="C9" s="8">
        <v>0</v>
      </c>
      <c r="D9" s="8"/>
      <c r="E9" s="8">
        <v>0</v>
      </c>
      <c r="F9" s="6">
        <v>0</v>
      </c>
      <c r="G9" s="6">
        <v>0</v>
      </c>
    </row>
    <row r="10" spans="1:7">
      <c r="A10" s="2"/>
      <c r="B10" s="8"/>
      <c r="C10" s="8"/>
      <c r="D10" s="8"/>
      <c r="E10" s="8"/>
      <c r="F10" s="6"/>
      <c r="G10" s="6"/>
    </row>
    <row r="11" spans="1:7">
      <c r="A11" s="2" t="s">
        <v>102</v>
      </c>
      <c r="B11" s="25">
        <f>SUM(B8:B10)</f>
        <v>36</v>
      </c>
      <c r="C11" s="25">
        <f t="shared" ref="C11:E11" si="2">SUM(C8:C10)</f>
        <v>8</v>
      </c>
      <c r="D11" s="25">
        <f t="shared" si="2"/>
        <v>343</v>
      </c>
      <c r="E11" s="25">
        <f t="shared" si="2"/>
        <v>229</v>
      </c>
      <c r="F11" s="18">
        <f t="shared" ref="F11" si="3">(B11-C11)/C11</f>
        <v>3.5</v>
      </c>
      <c r="G11" s="18">
        <f t="shared" ref="G11" si="4">(D11-E11)/E11</f>
        <v>0.49781659388646288</v>
      </c>
    </row>
    <row r="12" spans="1:7">
      <c r="A12" s="25"/>
      <c r="B12" s="8"/>
      <c r="C12" s="8"/>
      <c r="D12" s="8"/>
      <c r="E12" s="8"/>
      <c r="F12" s="6"/>
      <c r="G12" s="6"/>
    </row>
    <row r="13" spans="1:7" s="26" customFormat="1">
      <c r="A13" s="2" t="s">
        <v>50</v>
      </c>
      <c r="B13" s="2" t="s">
        <v>0</v>
      </c>
      <c r="C13" s="2" t="s">
        <v>30</v>
      </c>
      <c r="D13" s="2" t="s">
        <v>2</v>
      </c>
      <c r="E13" s="2" t="s">
        <v>3</v>
      </c>
      <c r="F13" s="66" t="s">
        <v>4</v>
      </c>
      <c r="G13" s="66" t="s">
        <v>5</v>
      </c>
    </row>
    <row r="14" spans="1:7">
      <c r="A14" s="15" t="s">
        <v>47</v>
      </c>
      <c r="B14" s="8">
        <v>0</v>
      </c>
      <c r="C14" s="8">
        <v>0</v>
      </c>
      <c r="D14" s="8">
        <v>17</v>
      </c>
      <c r="E14" s="8">
        <v>3</v>
      </c>
      <c r="F14" s="6">
        <v>0</v>
      </c>
      <c r="G14" s="6">
        <f>(D14-E14)/E14</f>
        <v>4.666666666666667</v>
      </c>
    </row>
    <row r="15" spans="1:7">
      <c r="A15" s="15" t="s">
        <v>48</v>
      </c>
      <c r="B15" s="8">
        <v>0</v>
      </c>
      <c r="C15" s="8">
        <v>0</v>
      </c>
      <c r="D15" s="8"/>
      <c r="E15" s="8">
        <v>0</v>
      </c>
      <c r="F15" s="6">
        <v>0</v>
      </c>
      <c r="G15" s="6">
        <v>0</v>
      </c>
    </row>
    <row r="16" spans="1:7">
      <c r="A16" s="15"/>
      <c r="B16" s="8"/>
      <c r="C16" s="8"/>
      <c r="D16" s="8"/>
      <c r="E16" s="8"/>
      <c r="F16" s="6"/>
      <c r="G16" s="6"/>
    </row>
    <row r="17" spans="1:7">
      <c r="A17" s="2" t="s">
        <v>102</v>
      </c>
      <c r="B17" s="25">
        <f>SUM(B14:B16)</f>
        <v>0</v>
      </c>
      <c r="C17" s="25">
        <f t="shared" ref="C17:E17" si="5">SUM(C14:C16)</f>
        <v>0</v>
      </c>
      <c r="D17" s="25">
        <f t="shared" si="5"/>
        <v>17</v>
      </c>
      <c r="E17" s="25">
        <f t="shared" si="5"/>
        <v>3</v>
      </c>
      <c r="F17" s="18">
        <v>0</v>
      </c>
      <c r="G17" s="18">
        <f t="shared" ref="G17" si="6">(D17-E17)/E17</f>
        <v>4.666666666666667</v>
      </c>
    </row>
    <row r="18" spans="1:7">
      <c r="A18" s="25"/>
      <c r="B18" s="8"/>
      <c r="C18" s="8"/>
      <c r="D18" s="8"/>
      <c r="E18" s="8"/>
      <c r="F18" s="6"/>
      <c r="G18" s="6"/>
    </row>
    <row r="19" spans="1:7" s="26" customFormat="1">
      <c r="A19" s="1" t="s">
        <v>70</v>
      </c>
      <c r="B19" s="2" t="s">
        <v>0</v>
      </c>
      <c r="C19" s="2" t="s">
        <v>30</v>
      </c>
      <c r="D19" s="2" t="s">
        <v>2</v>
      </c>
      <c r="E19" s="2" t="s">
        <v>3</v>
      </c>
      <c r="F19" s="66" t="s">
        <v>4</v>
      </c>
      <c r="G19" s="66" t="s">
        <v>5</v>
      </c>
    </row>
    <row r="20" spans="1:7">
      <c r="A20" s="15" t="s">
        <v>51</v>
      </c>
      <c r="B20" s="8">
        <v>0</v>
      </c>
      <c r="C20" s="8">
        <v>1</v>
      </c>
      <c r="D20" s="8">
        <v>44</v>
      </c>
      <c r="E20" s="8">
        <v>29</v>
      </c>
      <c r="F20" s="6">
        <f>(B20-C20)/C20</f>
        <v>-1</v>
      </c>
      <c r="G20" s="6">
        <f>(D20-E20)/E20</f>
        <v>0.51724137931034486</v>
      </c>
    </row>
    <row r="21" spans="1:7">
      <c r="A21" s="15" t="s">
        <v>52</v>
      </c>
      <c r="B21" s="8">
        <v>17</v>
      </c>
      <c r="C21" s="8">
        <v>27</v>
      </c>
      <c r="D21" s="8">
        <v>194</v>
      </c>
      <c r="E21" s="8">
        <v>118</v>
      </c>
      <c r="F21" s="6">
        <f>(B21-C21)/C21</f>
        <v>-0.37037037037037035</v>
      </c>
      <c r="G21" s="6">
        <f>(D21-E21)/E21</f>
        <v>0.64406779661016944</v>
      </c>
    </row>
    <row r="22" spans="1:7">
      <c r="A22" s="25"/>
      <c r="B22" s="8"/>
      <c r="C22" s="8"/>
      <c r="D22" s="8"/>
      <c r="E22" s="8"/>
      <c r="F22" s="6"/>
      <c r="G22" s="6"/>
    </row>
    <row r="23" spans="1:7" s="26" customFormat="1">
      <c r="A23" s="1" t="s">
        <v>69</v>
      </c>
      <c r="B23" s="2" t="s">
        <v>0</v>
      </c>
      <c r="C23" s="2" t="s">
        <v>30</v>
      </c>
      <c r="D23" s="2" t="s">
        <v>2</v>
      </c>
      <c r="E23" s="2" t="s">
        <v>3</v>
      </c>
      <c r="F23" s="66" t="s">
        <v>4</v>
      </c>
      <c r="G23" s="66" t="s">
        <v>5</v>
      </c>
    </row>
    <row r="24" spans="1:7">
      <c r="A24" s="15" t="s">
        <v>248</v>
      </c>
      <c r="B24" s="8">
        <v>14</v>
      </c>
      <c r="C24" s="8">
        <v>17</v>
      </c>
      <c r="D24" s="8">
        <v>116</v>
      </c>
      <c r="E24" s="8">
        <v>47</v>
      </c>
      <c r="F24" s="6">
        <f>(B24-C24)/C24</f>
        <v>-0.17647058823529413</v>
      </c>
      <c r="G24" s="6">
        <f>(D24-E24)/E24</f>
        <v>1.4680851063829787</v>
      </c>
    </row>
    <row r="25" spans="1:7">
      <c r="A25" s="15" t="s">
        <v>42</v>
      </c>
      <c r="B25" s="8">
        <v>34</v>
      </c>
      <c r="C25" s="8">
        <v>26</v>
      </c>
      <c r="D25" s="8">
        <v>293</v>
      </c>
      <c r="E25" s="8">
        <v>272</v>
      </c>
      <c r="F25" s="6">
        <f t="shared" ref="F25:F35" si="7">(B25-C25)/C25</f>
        <v>0.30769230769230771</v>
      </c>
      <c r="G25" s="6">
        <f t="shared" ref="G25:G34" si="8">(D25-E25)/E25</f>
        <v>7.720588235294118E-2</v>
      </c>
    </row>
    <row r="26" spans="1:7">
      <c r="A26" s="15" t="s">
        <v>53</v>
      </c>
      <c r="B26" s="8">
        <v>12</v>
      </c>
      <c r="C26" s="8">
        <v>2</v>
      </c>
      <c r="D26" s="8">
        <v>72</v>
      </c>
      <c r="E26" s="8">
        <v>39</v>
      </c>
      <c r="F26" s="6">
        <f t="shared" si="7"/>
        <v>5</v>
      </c>
      <c r="G26" s="6">
        <f t="shared" si="8"/>
        <v>0.84615384615384615</v>
      </c>
    </row>
    <row r="27" spans="1:7">
      <c r="A27" s="15" t="s">
        <v>54</v>
      </c>
      <c r="B27" s="8">
        <v>3</v>
      </c>
      <c r="C27" s="8">
        <v>1</v>
      </c>
      <c r="D27" s="8">
        <v>19</v>
      </c>
      <c r="E27" s="8">
        <v>28</v>
      </c>
      <c r="F27" s="6">
        <f t="shared" si="7"/>
        <v>2</v>
      </c>
      <c r="G27" s="6">
        <f t="shared" si="8"/>
        <v>-0.32142857142857145</v>
      </c>
    </row>
    <row r="28" spans="1:7">
      <c r="A28" s="15" t="s">
        <v>55</v>
      </c>
      <c r="B28" s="8">
        <v>4</v>
      </c>
      <c r="C28" s="8">
        <v>1</v>
      </c>
      <c r="D28" s="8">
        <v>55</v>
      </c>
      <c r="E28" s="8">
        <v>39</v>
      </c>
      <c r="F28" s="6">
        <f t="shared" si="7"/>
        <v>3</v>
      </c>
      <c r="G28" s="6">
        <f t="shared" si="8"/>
        <v>0.41025641025641024</v>
      </c>
    </row>
    <row r="29" spans="1:7">
      <c r="A29" s="15" t="s">
        <v>56</v>
      </c>
      <c r="B29" s="8">
        <v>7</v>
      </c>
      <c r="C29" s="8">
        <v>2</v>
      </c>
      <c r="D29" s="8">
        <v>76</v>
      </c>
      <c r="E29" s="8">
        <v>63</v>
      </c>
      <c r="F29" s="6">
        <f t="shared" si="7"/>
        <v>2.5</v>
      </c>
      <c r="G29" s="6">
        <f t="shared" si="8"/>
        <v>0.20634920634920634</v>
      </c>
    </row>
    <row r="30" spans="1:7">
      <c r="A30" s="15" t="s">
        <v>57</v>
      </c>
      <c r="B30" s="8">
        <v>0</v>
      </c>
      <c r="C30" s="8">
        <v>0</v>
      </c>
      <c r="D30" s="8">
        <v>0</v>
      </c>
      <c r="E30" s="8">
        <v>1</v>
      </c>
      <c r="F30" s="6" t="e">
        <f t="shared" si="7"/>
        <v>#DIV/0!</v>
      </c>
      <c r="G30" s="6">
        <f t="shared" si="8"/>
        <v>-1</v>
      </c>
    </row>
    <row r="31" spans="1:7">
      <c r="A31" s="15" t="s">
        <v>58</v>
      </c>
      <c r="B31" s="8">
        <v>1</v>
      </c>
      <c r="C31" s="8">
        <v>0</v>
      </c>
      <c r="D31" s="8">
        <v>9</v>
      </c>
      <c r="E31" s="8">
        <v>4</v>
      </c>
      <c r="F31" s="6" t="e">
        <f t="shared" si="7"/>
        <v>#DIV/0!</v>
      </c>
      <c r="G31" s="6">
        <f t="shared" si="8"/>
        <v>1.25</v>
      </c>
    </row>
    <row r="32" spans="1:7">
      <c r="A32" s="15" t="s">
        <v>59</v>
      </c>
      <c r="B32" s="8">
        <v>8</v>
      </c>
      <c r="C32" s="8">
        <v>1</v>
      </c>
      <c r="D32" s="8">
        <v>40</v>
      </c>
      <c r="E32" s="8">
        <v>19</v>
      </c>
      <c r="F32" s="6">
        <f t="shared" si="7"/>
        <v>7</v>
      </c>
      <c r="G32" s="6">
        <f t="shared" si="8"/>
        <v>1.1052631578947369</v>
      </c>
    </row>
    <row r="33" spans="1:7">
      <c r="A33" s="15" t="s">
        <v>60</v>
      </c>
      <c r="B33" s="8">
        <v>0</v>
      </c>
      <c r="C33" s="8">
        <v>0</v>
      </c>
      <c r="D33" s="8">
        <v>9</v>
      </c>
      <c r="E33" s="8">
        <v>0</v>
      </c>
      <c r="F33" s="6" t="e">
        <f t="shared" si="7"/>
        <v>#DIV/0!</v>
      </c>
      <c r="G33" s="6" t="e">
        <f t="shared" si="8"/>
        <v>#DIV/0!</v>
      </c>
    </row>
    <row r="34" spans="1:7">
      <c r="A34" s="15" t="s">
        <v>61</v>
      </c>
      <c r="B34" s="8">
        <v>3</v>
      </c>
      <c r="C34" s="8">
        <v>0</v>
      </c>
      <c r="D34" s="8">
        <v>28</v>
      </c>
      <c r="E34" s="8">
        <v>12</v>
      </c>
      <c r="F34" s="6" t="e">
        <f t="shared" si="7"/>
        <v>#DIV/0!</v>
      </c>
      <c r="G34" s="6">
        <f t="shared" si="8"/>
        <v>1.3333333333333333</v>
      </c>
    </row>
    <row r="35" spans="1:7">
      <c r="A35" s="15" t="s">
        <v>62</v>
      </c>
      <c r="B35" s="8">
        <v>0</v>
      </c>
      <c r="C35" s="8">
        <v>0</v>
      </c>
      <c r="D35" s="8">
        <v>1</v>
      </c>
      <c r="E35" s="8">
        <v>0</v>
      </c>
      <c r="F35" s="6" t="e">
        <f t="shared" si="7"/>
        <v>#DIV/0!</v>
      </c>
      <c r="G35" s="6">
        <v>0</v>
      </c>
    </row>
    <row r="36" spans="1:7">
      <c r="A36" s="25"/>
      <c r="B36" s="8"/>
      <c r="C36" s="8"/>
      <c r="D36" s="8"/>
      <c r="E36" s="8"/>
      <c r="F36" s="6"/>
      <c r="G36" s="6"/>
    </row>
    <row r="37" spans="1:7" s="26" customFormat="1">
      <c r="A37" s="1" t="s">
        <v>63</v>
      </c>
      <c r="B37" s="2" t="s">
        <v>0</v>
      </c>
      <c r="C37" s="2" t="s">
        <v>30</v>
      </c>
      <c r="D37" s="2" t="s">
        <v>2</v>
      </c>
      <c r="E37" s="2" t="s">
        <v>3</v>
      </c>
      <c r="F37" s="66" t="s">
        <v>4</v>
      </c>
      <c r="G37" s="66" t="s">
        <v>5</v>
      </c>
    </row>
    <row r="38" spans="1:7">
      <c r="A38" s="15" t="s">
        <v>64</v>
      </c>
      <c r="B38" s="8">
        <v>0</v>
      </c>
      <c r="C38" s="8">
        <v>0</v>
      </c>
      <c r="D38" s="8">
        <v>5</v>
      </c>
      <c r="E38" s="8">
        <v>8</v>
      </c>
      <c r="F38" s="6">
        <v>0</v>
      </c>
      <c r="G38" s="6">
        <f>(D38-E38)/E38</f>
        <v>-0.375</v>
      </c>
    </row>
    <row r="39" spans="1:7">
      <c r="A39" s="15" t="s">
        <v>65</v>
      </c>
      <c r="B39" s="4">
        <v>100</v>
      </c>
      <c r="C39" s="67">
        <v>0</v>
      </c>
      <c r="D39" s="67">
        <v>94902</v>
      </c>
      <c r="E39" s="8">
        <v>289183</v>
      </c>
      <c r="F39" s="6">
        <v>0</v>
      </c>
      <c r="G39" s="6">
        <f t="shared" ref="G39" si="9">(D39-E39)/E39</f>
        <v>-0.67182718209576631</v>
      </c>
    </row>
    <row r="40" spans="1:7">
      <c r="A40" s="15" t="s">
        <v>66</v>
      </c>
      <c r="B40" s="8"/>
      <c r="C40" s="8">
        <v>0</v>
      </c>
      <c r="D40" s="8">
        <v>0</v>
      </c>
      <c r="E40" s="8">
        <v>0</v>
      </c>
      <c r="F40" s="6">
        <v>0</v>
      </c>
      <c r="G40" s="6">
        <v>0</v>
      </c>
    </row>
    <row r="41" spans="1:7">
      <c r="A41" s="15" t="s">
        <v>67</v>
      </c>
      <c r="B41" s="8"/>
      <c r="C41" s="8">
        <v>0</v>
      </c>
      <c r="D41" s="8">
        <v>0</v>
      </c>
      <c r="E41" s="8">
        <v>0</v>
      </c>
      <c r="F41" s="6">
        <v>0</v>
      </c>
      <c r="G41" s="6">
        <v>0</v>
      </c>
    </row>
    <row r="42" spans="1:7">
      <c r="A42" s="15" t="s">
        <v>68</v>
      </c>
      <c r="B42" s="8"/>
      <c r="C42" s="8">
        <v>0</v>
      </c>
      <c r="D42" s="8">
        <v>0</v>
      </c>
      <c r="E42" s="8">
        <v>0</v>
      </c>
      <c r="F42" s="6">
        <v>0</v>
      </c>
      <c r="G42" s="6">
        <v>0</v>
      </c>
    </row>
    <row r="43" spans="1:7">
      <c r="A43" s="25"/>
      <c r="B43" s="8"/>
      <c r="C43" s="8"/>
      <c r="D43" s="8"/>
      <c r="E43" s="8"/>
      <c r="F43" s="6"/>
      <c r="G43" s="6"/>
    </row>
    <row r="44" spans="1:7" s="26" customFormat="1">
      <c r="A44" s="1" t="s">
        <v>72</v>
      </c>
      <c r="B44" s="2" t="s">
        <v>0</v>
      </c>
      <c r="C44" s="2" t="s">
        <v>30</v>
      </c>
      <c r="D44" s="2" t="s">
        <v>2</v>
      </c>
      <c r="E44" s="2" t="s">
        <v>3</v>
      </c>
      <c r="F44" s="66" t="s">
        <v>4</v>
      </c>
      <c r="G44" s="66" t="s">
        <v>5</v>
      </c>
    </row>
    <row r="45" spans="1:7">
      <c r="A45" s="15" t="s">
        <v>73</v>
      </c>
      <c r="B45" s="8">
        <v>12</v>
      </c>
      <c r="C45" s="8">
        <v>5</v>
      </c>
      <c r="D45" s="8">
        <v>184</v>
      </c>
      <c r="E45" s="8">
        <v>129</v>
      </c>
      <c r="F45" s="6">
        <f>(B45-C45)/C45</f>
        <v>1.4</v>
      </c>
      <c r="G45" s="6">
        <f>(D45-E45)/E45</f>
        <v>0.4263565891472868</v>
      </c>
    </row>
    <row r="46" spans="1:7">
      <c r="A46" s="15" t="s">
        <v>74</v>
      </c>
      <c r="B46" s="8">
        <v>10</v>
      </c>
      <c r="C46" s="8">
        <v>16</v>
      </c>
      <c r="D46" s="8">
        <v>111</v>
      </c>
      <c r="E46" s="8">
        <v>110</v>
      </c>
      <c r="F46" s="6">
        <f t="shared" ref="F46:F61" si="10">(B46-C46)/C46</f>
        <v>-0.375</v>
      </c>
      <c r="G46" s="6">
        <f t="shared" ref="G46:G61" si="11">(D46-E46)/E46</f>
        <v>9.0909090909090905E-3</v>
      </c>
    </row>
    <row r="47" spans="1:7">
      <c r="A47" s="15" t="s">
        <v>75</v>
      </c>
      <c r="B47" s="8">
        <v>3</v>
      </c>
      <c r="C47" s="8">
        <v>0</v>
      </c>
      <c r="D47" s="8">
        <v>22</v>
      </c>
      <c r="E47" s="8">
        <v>5</v>
      </c>
      <c r="F47" s="6" t="e">
        <f t="shared" si="10"/>
        <v>#DIV/0!</v>
      </c>
      <c r="G47" s="6">
        <f t="shared" si="11"/>
        <v>3.4</v>
      </c>
    </row>
    <row r="48" spans="1:7">
      <c r="A48" s="15" t="s">
        <v>76</v>
      </c>
      <c r="B48" s="8">
        <v>0</v>
      </c>
      <c r="C48" s="8">
        <v>0</v>
      </c>
      <c r="D48" s="8">
        <v>0</v>
      </c>
      <c r="E48" s="8">
        <v>0</v>
      </c>
      <c r="F48" s="6" t="e">
        <f t="shared" si="10"/>
        <v>#DIV/0!</v>
      </c>
      <c r="G48" s="6" t="e">
        <f t="shared" si="11"/>
        <v>#DIV/0!</v>
      </c>
    </row>
    <row r="49" spans="1:7">
      <c r="A49" s="15" t="s">
        <v>77</v>
      </c>
      <c r="B49" s="8">
        <v>0</v>
      </c>
      <c r="C49" s="8">
        <v>0</v>
      </c>
      <c r="D49" s="8">
        <v>0</v>
      </c>
      <c r="E49" s="8">
        <v>0</v>
      </c>
      <c r="F49" s="6" t="e">
        <f t="shared" si="10"/>
        <v>#DIV/0!</v>
      </c>
      <c r="G49" s="6" t="e">
        <f t="shared" si="11"/>
        <v>#DIV/0!</v>
      </c>
    </row>
    <row r="50" spans="1:7">
      <c r="A50" s="15" t="s">
        <v>78</v>
      </c>
      <c r="B50" s="8">
        <v>16</v>
      </c>
      <c r="C50" s="8">
        <v>19</v>
      </c>
      <c r="D50" s="8">
        <v>222</v>
      </c>
      <c r="E50" s="8">
        <v>171</v>
      </c>
      <c r="F50" s="6">
        <f t="shared" si="10"/>
        <v>-0.15789473684210525</v>
      </c>
      <c r="G50" s="6">
        <f t="shared" si="11"/>
        <v>0.2982456140350877</v>
      </c>
    </row>
    <row r="51" spans="1:7">
      <c r="A51" s="15" t="s">
        <v>79</v>
      </c>
      <c r="B51" s="8">
        <v>7</v>
      </c>
      <c r="C51" s="8">
        <v>0</v>
      </c>
      <c r="D51" s="8">
        <v>69</v>
      </c>
      <c r="E51" s="8">
        <v>44</v>
      </c>
      <c r="F51" s="6" t="e">
        <f t="shared" si="10"/>
        <v>#DIV/0!</v>
      </c>
      <c r="G51" s="6">
        <f t="shared" si="11"/>
        <v>0.56818181818181823</v>
      </c>
    </row>
    <row r="52" spans="1:7">
      <c r="A52" s="15" t="s">
        <v>80</v>
      </c>
      <c r="B52" s="8">
        <v>5</v>
      </c>
      <c r="C52" s="8">
        <v>5</v>
      </c>
      <c r="D52" s="8">
        <v>118</v>
      </c>
      <c r="E52" s="8">
        <v>104</v>
      </c>
      <c r="F52" s="6">
        <f t="shared" si="10"/>
        <v>0</v>
      </c>
      <c r="G52" s="6">
        <f t="shared" si="11"/>
        <v>0.13461538461538461</v>
      </c>
    </row>
    <row r="53" spans="1:7">
      <c r="A53" s="15" t="s">
        <v>81</v>
      </c>
      <c r="B53" s="8">
        <v>6</v>
      </c>
      <c r="C53" s="8">
        <v>0</v>
      </c>
      <c r="D53" s="8">
        <v>54</v>
      </c>
      <c r="E53" s="8">
        <v>47</v>
      </c>
      <c r="F53" s="6" t="e">
        <f t="shared" si="10"/>
        <v>#DIV/0!</v>
      </c>
      <c r="G53" s="6">
        <f t="shared" si="11"/>
        <v>0.14893617021276595</v>
      </c>
    </row>
    <row r="54" spans="1:7">
      <c r="A54" s="15" t="s">
        <v>82</v>
      </c>
      <c r="B54" s="8">
        <v>8</v>
      </c>
      <c r="C54" s="8">
        <v>15</v>
      </c>
      <c r="D54" s="8">
        <v>90</v>
      </c>
      <c r="E54" s="8">
        <v>102</v>
      </c>
      <c r="F54" s="6">
        <f t="shared" si="10"/>
        <v>-0.46666666666666667</v>
      </c>
      <c r="G54" s="6">
        <f t="shared" si="11"/>
        <v>-0.11764705882352941</v>
      </c>
    </row>
    <row r="55" spans="1:7">
      <c r="A55" s="15" t="s">
        <v>83</v>
      </c>
      <c r="B55" s="8">
        <v>0</v>
      </c>
      <c r="C55" s="8">
        <v>1</v>
      </c>
      <c r="D55" s="8">
        <v>18</v>
      </c>
      <c r="E55" s="8">
        <v>11</v>
      </c>
      <c r="F55" s="6">
        <f t="shared" si="10"/>
        <v>-1</v>
      </c>
      <c r="G55" s="6">
        <f t="shared" si="11"/>
        <v>0.63636363636363635</v>
      </c>
    </row>
    <row r="56" spans="1:7">
      <c r="A56" s="15" t="s">
        <v>84</v>
      </c>
      <c r="B56" s="8">
        <v>3</v>
      </c>
      <c r="C56" s="8">
        <v>0</v>
      </c>
      <c r="D56" s="8">
        <v>19</v>
      </c>
      <c r="E56" s="8">
        <v>3</v>
      </c>
      <c r="F56" s="6" t="e">
        <f t="shared" si="10"/>
        <v>#DIV/0!</v>
      </c>
      <c r="G56" s="6">
        <f t="shared" si="11"/>
        <v>5.333333333333333</v>
      </c>
    </row>
    <row r="57" spans="1:7">
      <c r="A57" s="15" t="s">
        <v>85</v>
      </c>
      <c r="B57" s="8">
        <v>0</v>
      </c>
      <c r="C57" s="8">
        <v>0</v>
      </c>
      <c r="D57" s="8">
        <v>3</v>
      </c>
      <c r="E57" s="8">
        <v>1</v>
      </c>
      <c r="F57" s="6" t="e">
        <f t="shared" si="10"/>
        <v>#DIV/0!</v>
      </c>
      <c r="G57" s="6">
        <f t="shared" si="11"/>
        <v>2</v>
      </c>
    </row>
    <row r="58" spans="1:7">
      <c r="A58" s="15" t="s">
        <v>86</v>
      </c>
      <c r="B58" s="8">
        <v>0</v>
      </c>
      <c r="C58" s="8">
        <v>0</v>
      </c>
      <c r="D58" s="8">
        <v>0</v>
      </c>
      <c r="E58" s="8">
        <v>0</v>
      </c>
      <c r="F58" s="6" t="e">
        <f t="shared" si="10"/>
        <v>#DIV/0!</v>
      </c>
      <c r="G58" s="6" t="e">
        <f t="shared" si="11"/>
        <v>#DIV/0!</v>
      </c>
    </row>
    <row r="59" spans="1:7">
      <c r="A59" s="15" t="s">
        <v>87</v>
      </c>
      <c r="B59" s="8">
        <v>0</v>
      </c>
      <c r="C59" s="8">
        <v>0</v>
      </c>
      <c r="D59" s="8">
        <v>0</v>
      </c>
      <c r="E59" s="8">
        <v>0</v>
      </c>
      <c r="F59" s="6" t="e">
        <f t="shared" si="10"/>
        <v>#DIV/0!</v>
      </c>
      <c r="G59" s="6" t="e">
        <f t="shared" si="11"/>
        <v>#DIV/0!</v>
      </c>
    </row>
    <row r="60" spans="1:7">
      <c r="A60" s="15" t="s">
        <v>88</v>
      </c>
      <c r="B60" s="8">
        <v>0</v>
      </c>
      <c r="C60" s="8">
        <v>0</v>
      </c>
      <c r="D60" s="8">
        <v>0</v>
      </c>
      <c r="E60" s="8">
        <v>0</v>
      </c>
      <c r="F60" s="6" t="e">
        <f t="shared" si="10"/>
        <v>#DIV/0!</v>
      </c>
      <c r="G60" s="6" t="e">
        <f t="shared" si="11"/>
        <v>#DIV/0!</v>
      </c>
    </row>
    <row r="61" spans="1:7">
      <c r="A61" s="15" t="s">
        <v>89</v>
      </c>
      <c r="B61" s="8">
        <v>0</v>
      </c>
      <c r="C61" s="8">
        <v>0</v>
      </c>
      <c r="D61" s="8">
        <v>0</v>
      </c>
      <c r="E61" s="8">
        <v>0</v>
      </c>
      <c r="F61" s="6" t="e">
        <f t="shared" si="10"/>
        <v>#DIV/0!</v>
      </c>
      <c r="G61" s="6" t="e">
        <f t="shared" si="11"/>
        <v>#DIV/0!</v>
      </c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Crime Activity</vt:lpstr>
      <vt:lpstr>Arrest Demographics</vt:lpstr>
      <vt:lpstr>E-911</vt:lpstr>
      <vt:lpstr>UPD</vt:lpstr>
      <vt:lpstr>Prowl</vt:lpstr>
      <vt:lpstr>CID</vt:lpstr>
      <vt:lpstr>Warrants</vt:lpstr>
      <vt:lpstr>DTF</vt:lpstr>
      <vt:lpstr>Traffic</vt:lpstr>
      <vt:lpstr>Parking</vt:lpstr>
      <vt:lpstr>Animal Control</vt:lpstr>
      <vt:lpstr>FLEET MAINTENANCE</vt:lpstr>
      <vt:lpstr>RECORDS</vt:lpstr>
      <vt:lpstr>Professional Standards</vt:lpstr>
    </vt:vector>
  </TitlesOfParts>
  <Company>City of Jonesboro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Yates</dc:creator>
  <cp:lastModifiedBy>Heather Clements</cp:lastModifiedBy>
  <cp:lastPrinted>2009-11-19T16:10:47Z</cp:lastPrinted>
  <dcterms:created xsi:type="dcterms:W3CDTF">2005-08-24T14:42:25Z</dcterms:created>
  <dcterms:modified xsi:type="dcterms:W3CDTF">2009-12-11T18:49:23Z</dcterms:modified>
</cp:coreProperties>
</file>